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29\Desktop\"/>
    </mc:Choice>
  </mc:AlternateContent>
  <bookViews>
    <workbookView xWindow="0" yWindow="0" windowWidth="20490" windowHeight="7530"/>
  </bookViews>
  <sheets>
    <sheet name="新現差引計算書上下水道料金簡易計算書  " sheetId="2" r:id="rId1"/>
  </sheets>
  <definedNames>
    <definedName name="_xlnm.Print_Area" localSheetId="0">'新現差引計算書上下水道料金簡易計算書  '!$N$66:$W$105</definedName>
  </definedNames>
  <calcPr calcId="162913"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6" i="2" l="1"/>
  <c r="Z60" i="2"/>
  <c r="P59" i="2"/>
  <c r="AB70" i="2" s="1"/>
  <c r="AA57" i="2"/>
  <c r="AB56" i="2"/>
  <c r="AB55" i="2"/>
  <c r="P55" i="2"/>
  <c r="F56" i="2" s="1"/>
  <c r="AE52" i="2"/>
  <c r="AD52" i="2"/>
  <c r="AC52" i="2"/>
  <c r="P51" i="2"/>
  <c r="P45" i="2"/>
  <c r="E53" i="2" s="1"/>
  <c r="AJ44" i="2"/>
  <c r="AI44" i="2"/>
  <c r="AH44" i="2"/>
  <c r="AJ43" i="2"/>
  <c r="AI43" i="2"/>
  <c r="AH43" i="2"/>
  <c r="AJ42" i="2"/>
  <c r="AI42" i="2"/>
  <c r="AH42" i="2"/>
  <c r="AJ41" i="2"/>
  <c r="AI41" i="2"/>
  <c r="AH41" i="2"/>
  <c r="AJ40" i="2"/>
  <c r="AI40" i="2"/>
  <c r="AH40" i="2"/>
  <c r="AJ39" i="2"/>
  <c r="AI39" i="2"/>
  <c r="AH39" i="2"/>
  <c r="AL38" i="2"/>
  <c r="AJ38" i="2"/>
  <c r="AI38" i="2"/>
  <c r="AH38" i="2"/>
  <c r="E38" i="2"/>
  <c r="AJ37" i="2"/>
  <c r="AI37" i="2"/>
  <c r="AH37" i="2"/>
  <c r="AB33" i="2"/>
  <c r="AA33" i="2"/>
  <c r="Z33" i="2"/>
  <c r="Y33" i="2"/>
  <c r="AB32" i="2"/>
  <c r="AA32" i="2"/>
  <c r="Z32" i="2"/>
  <c r="Y32" i="2"/>
  <c r="AB31" i="2"/>
  <c r="AA31" i="2"/>
  <c r="Z31" i="2"/>
  <c r="Y31" i="2"/>
  <c r="AB30" i="2"/>
  <c r="AA30" i="2"/>
  <c r="Z30" i="2"/>
  <c r="Y30" i="2"/>
  <c r="AB29" i="2"/>
  <c r="AA29" i="2"/>
  <c r="Z29" i="2"/>
  <c r="Y29" i="2"/>
  <c r="AB28" i="2"/>
  <c r="AA28" i="2"/>
  <c r="Z28" i="2"/>
  <c r="Y28" i="2"/>
  <c r="AB25" i="2"/>
  <c r="AA25" i="2"/>
  <c r="I8" i="2" s="1"/>
  <c r="Z25" i="2"/>
  <c r="Y25" i="2"/>
  <c r="AB24" i="2"/>
  <c r="AA24" i="2"/>
  <c r="I7" i="2" s="1"/>
  <c r="Z24" i="2"/>
  <c r="Y24" i="2"/>
  <c r="I24" i="2"/>
  <c r="K24" i="2" s="1"/>
  <c r="F24" i="2"/>
  <c r="E24" i="2"/>
  <c r="AB23" i="2"/>
  <c r="AA23" i="2"/>
  <c r="Z23" i="2"/>
  <c r="Y23" i="2"/>
  <c r="I23" i="2"/>
  <c r="K23" i="2" s="1"/>
  <c r="F23" i="2"/>
  <c r="E23" i="2"/>
  <c r="AB22" i="2"/>
  <c r="AA22" i="2"/>
  <c r="Z22" i="2"/>
  <c r="Y22" i="2"/>
  <c r="I22" i="2"/>
  <c r="K22" i="2" s="1"/>
  <c r="F22" i="2"/>
  <c r="E22" i="2"/>
  <c r="I21" i="2"/>
  <c r="K21" i="2" s="1"/>
  <c r="F21" i="2"/>
  <c r="E21" i="2"/>
  <c r="I20" i="2"/>
  <c r="K20" i="2" s="1"/>
  <c r="F20" i="2"/>
  <c r="E20" i="2"/>
  <c r="I19" i="2"/>
  <c r="K19" i="2" s="1"/>
  <c r="F19" i="2"/>
  <c r="E19" i="2"/>
  <c r="I18" i="2"/>
  <c r="K18" i="2" s="1"/>
  <c r="F18" i="2"/>
  <c r="E18" i="2"/>
  <c r="AE17" i="2"/>
  <c r="AD17" i="2"/>
  <c r="K17" i="2" s="1"/>
  <c r="AC17" i="2"/>
  <c r="I17" i="2"/>
  <c r="E17" i="2"/>
  <c r="I13" i="2"/>
  <c r="AL10" i="2"/>
  <c r="AJ10" i="2"/>
  <c r="AI10" i="2"/>
  <c r="AH10" i="2"/>
  <c r="Y10" i="2"/>
  <c r="AL9" i="2"/>
  <c r="AJ9" i="2"/>
  <c r="AI9" i="2"/>
  <c r="AH9" i="2"/>
  <c r="Y9" i="2"/>
  <c r="AL8" i="2"/>
  <c r="AJ8" i="2"/>
  <c r="AI8" i="2"/>
  <c r="AH8" i="2"/>
  <c r="F8" i="2"/>
  <c r="K8" i="2" s="1"/>
  <c r="E8" i="2"/>
  <c r="AL7" i="2"/>
  <c r="AJ7" i="2"/>
  <c r="AI7" i="2"/>
  <c r="AH7" i="2"/>
  <c r="F7" i="2"/>
  <c r="E7" i="2"/>
  <c r="AL6" i="2"/>
  <c r="AJ6" i="2"/>
  <c r="AI6" i="2"/>
  <c r="AH6" i="2"/>
  <c r="AC6" i="2"/>
  <c r="AB6" i="2"/>
  <c r="AA6" i="2"/>
  <c r="F6" i="2"/>
  <c r="E6" i="2"/>
  <c r="AL5" i="2"/>
  <c r="K13" i="2" s="1"/>
  <c r="AJ5" i="2"/>
  <c r="AI5" i="2"/>
  <c r="AH5" i="2"/>
  <c r="AC5" i="2"/>
  <c r="AB5" i="2"/>
  <c r="AA5" i="2"/>
  <c r="I5" i="2"/>
  <c r="K5" i="2" s="1"/>
  <c r="F5" i="2"/>
  <c r="E5" i="2"/>
  <c r="AL4" i="2"/>
  <c r="AJ4" i="2"/>
  <c r="AI4" i="2"/>
  <c r="AH4" i="2"/>
  <c r="AC4" i="2"/>
  <c r="AB4" i="2"/>
  <c r="Y8" i="2" s="1"/>
  <c r="K4" i="2" s="1"/>
  <c r="AA4" i="2"/>
  <c r="I4" i="2"/>
  <c r="E4" i="2"/>
  <c r="AA56" i="2" l="1"/>
  <c r="Y58" i="2"/>
  <c r="Y63" i="2"/>
  <c r="Y67" i="2"/>
  <c r="I6" i="2"/>
  <c r="K6" i="2" s="1"/>
  <c r="Y64" i="2"/>
  <c r="Y68" i="2"/>
  <c r="AA55" i="2"/>
  <c r="Z57" i="2"/>
  <c r="AA59" i="2"/>
  <c r="Y65" i="2"/>
  <c r="Y70" i="2"/>
  <c r="E43" i="2"/>
  <c r="K49" i="2"/>
  <c r="I37" i="2"/>
  <c r="AL37" i="2"/>
  <c r="K37" i="2" s="1"/>
  <c r="E54" i="2"/>
  <c r="K7" i="2"/>
  <c r="K25" i="2"/>
  <c r="K26" i="2" s="1"/>
  <c r="E39" i="2"/>
  <c r="E40" i="2"/>
  <c r="AL41" i="2"/>
  <c r="E50" i="2"/>
  <c r="E55" i="2"/>
  <c r="E42" i="2"/>
  <c r="AL42" i="2"/>
  <c r="AL44" i="2"/>
  <c r="E51" i="2"/>
  <c r="AL43" i="2"/>
  <c r="K9" i="2"/>
  <c r="K10" i="2" s="1"/>
  <c r="K14" i="2"/>
  <c r="K15" i="2" s="1"/>
  <c r="Z58" i="2"/>
  <c r="AA60" i="2"/>
  <c r="AL40" i="2"/>
  <c r="E49" i="2"/>
  <c r="F50" i="2"/>
  <c r="F51" i="2"/>
  <c r="E52" i="2"/>
  <c r="F53" i="2"/>
  <c r="F54" i="2"/>
  <c r="F55" i="2"/>
  <c r="Y55" i="2"/>
  <c r="I38" i="2" s="1"/>
  <c r="K38" i="2" s="1"/>
  <c r="E56" i="2"/>
  <c r="Y56" i="2"/>
  <c r="I39" i="2" s="1"/>
  <c r="K39" i="2" s="1"/>
  <c r="AB57" i="2"/>
  <c r="AA58" i="2"/>
  <c r="I41" i="2" s="1"/>
  <c r="K41" i="2" s="1"/>
  <c r="Y59" i="2"/>
  <c r="AB60" i="2"/>
  <c r="AA63" i="2"/>
  <c r="I50" i="2" s="1"/>
  <c r="AA64" i="2"/>
  <c r="AA65" i="2"/>
  <c r="I52" i="2" s="1"/>
  <c r="AA66" i="2"/>
  <c r="AA67" i="2"/>
  <c r="AA68" i="2"/>
  <c r="I55" i="2" s="1"/>
  <c r="AA70" i="2"/>
  <c r="AB59" i="2"/>
  <c r="Z63" i="2"/>
  <c r="Z64" i="2"/>
  <c r="Z65" i="2"/>
  <c r="Z66" i="2"/>
  <c r="Z67" i="2"/>
  <c r="Z68" i="2"/>
  <c r="Z70" i="2"/>
  <c r="E37" i="2"/>
  <c r="AL39" i="2"/>
  <c r="E41" i="2"/>
  <c r="I42" i="2"/>
  <c r="K42" i="2" s="1"/>
  <c r="I49" i="2"/>
  <c r="I51" i="2"/>
  <c r="F52" i="2"/>
  <c r="K52" i="2" s="1"/>
  <c r="I53" i="2"/>
  <c r="Z55" i="2"/>
  <c r="Z56" i="2"/>
  <c r="Y57" i="2"/>
  <c r="I40" i="2" s="1"/>
  <c r="K40" i="2" s="1"/>
  <c r="AB58" i="2"/>
  <c r="Z59" i="2"/>
  <c r="Y60" i="2"/>
  <c r="AB63" i="2"/>
  <c r="AB64" i="2"/>
  <c r="AB65" i="2"/>
  <c r="AB66" i="2"/>
  <c r="AB67" i="2"/>
  <c r="AB68" i="2"/>
  <c r="I54" i="2" l="1"/>
  <c r="I43" i="2"/>
  <c r="K43" i="2" s="1"/>
  <c r="I56" i="2"/>
  <c r="K56" i="2" s="1"/>
  <c r="K44" i="2"/>
  <c r="K45" i="2" s="1"/>
  <c r="K46" i="2" s="1"/>
  <c r="W98" i="2" s="1"/>
  <c r="K27" i="2"/>
  <c r="K28" i="2" s="1"/>
  <c r="K51" i="2"/>
  <c r="W97" i="2"/>
  <c r="R97" i="2"/>
  <c r="K11" i="2"/>
  <c r="R98" i="2" s="1"/>
  <c r="K54" i="2"/>
  <c r="K50" i="2"/>
  <c r="K55" i="2"/>
  <c r="K53" i="2"/>
  <c r="W99" i="2" l="1"/>
  <c r="K47" i="2"/>
  <c r="K48" i="2" s="1"/>
  <c r="K57" i="2"/>
  <c r="K58" i="2" s="1"/>
  <c r="R100" i="2" s="1"/>
  <c r="K12" i="2"/>
  <c r="K16" i="2" s="1"/>
  <c r="J29" i="2" s="1"/>
  <c r="R99" i="2"/>
  <c r="K59" i="2" l="1"/>
  <c r="W100" i="2"/>
  <c r="W101" i="2"/>
  <c r="W102" i="2" s="1"/>
  <c r="W103" i="2" s="1"/>
  <c r="R101" i="2"/>
  <c r="R102" i="2" s="1"/>
  <c r="R103" i="2" s="1"/>
  <c r="K60" i="2"/>
  <c r="J61" i="2" s="1"/>
  <c r="W104" i="2" l="1"/>
</calcChain>
</file>

<file path=xl/sharedStrings.xml><?xml version="1.0" encoding="utf-8"?>
<sst xmlns="http://schemas.openxmlformats.org/spreadsheetml/2006/main" count="273" uniqueCount="106">
  <si>
    <t>上下水道料金簡易計算書</t>
    <rPh sb="0" eb="2">
      <t>ジョウゲ</t>
    </rPh>
    <rPh sb="2" eb="4">
      <t>スイドウ</t>
    </rPh>
    <rPh sb="4" eb="6">
      <t>リョウキン</t>
    </rPh>
    <rPh sb="6" eb="8">
      <t>カンイ</t>
    </rPh>
    <rPh sb="8" eb="10">
      <t>ケイサン</t>
    </rPh>
    <rPh sb="10" eb="11">
      <t>ショ</t>
    </rPh>
    <phoneticPr fontId="5"/>
  </si>
  <si>
    <t>水道料金</t>
    <rPh sb="0" eb="2">
      <t>スイドウ</t>
    </rPh>
    <rPh sb="2" eb="4">
      <t>リョウキン</t>
    </rPh>
    <phoneticPr fontId="5"/>
  </si>
  <si>
    <t>水道使用料</t>
    <rPh sb="0" eb="2">
      <t>スイドウ</t>
    </rPh>
    <rPh sb="2" eb="5">
      <t>シヨウリョウ</t>
    </rPh>
    <phoneticPr fontId="5"/>
  </si>
  <si>
    <t>基本料金</t>
    <rPh sb="0" eb="2">
      <t>キホン</t>
    </rPh>
    <rPh sb="2" eb="4">
      <t>リョウキン</t>
    </rPh>
    <phoneticPr fontId="5"/>
  </si>
  <si>
    <r>
      <t>m</t>
    </r>
    <r>
      <rPr>
        <vertAlign val="superscript"/>
        <sz val="6"/>
        <rFont val="ＭＳ Ｐゴシック"/>
        <family val="3"/>
        <charset val="128"/>
      </rPr>
      <t>３</t>
    </r>
    <r>
      <rPr>
        <sz val="11"/>
        <color theme="1"/>
        <rFont val="游ゴシック"/>
        <family val="2"/>
        <charset val="128"/>
        <scheme val="minor"/>
      </rPr>
      <t>まで</t>
    </r>
    <phoneticPr fontId="5"/>
  </si>
  <si>
    <r>
      <t>円</t>
    </r>
    <r>
      <rPr>
        <b/>
        <sz val="11"/>
        <rFont val="ＭＳ Ｐゴシック"/>
        <family val="3"/>
        <charset val="128"/>
      </rPr>
      <t xml:space="preserve"> (A)</t>
    </r>
    <rPh sb="0" eb="1">
      <t>エン</t>
    </rPh>
    <phoneticPr fontId="5"/>
  </si>
  <si>
    <t>一般用</t>
    <rPh sb="0" eb="3">
      <t>イッパンヨウ</t>
    </rPh>
    <phoneticPr fontId="5"/>
  </si>
  <si>
    <t>13㎜</t>
    <phoneticPr fontId="5"/>
  </si>
  <si>
    <t>超過料金</t>
    <rPh sb="0" eb="2">
      <t>チョウカ</t>
    </rPh>
    <rPh sb="2" eb="4">
      <t>リョウキン</t>
    </rPh>
    <phoneticPr fontId="5"/>
  </si>
  <si>
    <t>円</t>
    <rPh sb="0" eb="1">
      <t>エン</t>
    </rPh>
    <phoneticPr fontId="5"/>
  </si>
  <si>
    <t>×</t>
    <phoneticPr fontId="5"/>
  </si>
  <si>
    <r>
      <t>m</t>
    </r>
    <r>
      <rPr>
        <vertAlign val="superscript"/>
        <sz val="6"/>
        <rFont val="ＭＳ Ｐゴシック"/>
        <family val="3"/>
        <charset val="128"/>
      </rPr>
      <t>３</t>
    </r>
    <r>
      <rPr>
        <sz val="11"/>
        <color theme="1"/>
        <rFont val="游ゴシック"/>
        <family val="2"/>
        <charset val="128"/>
        <scheme val="minor"/>
      </rPr>
      <t>＝</t>
    </r>
    <phoneticPr fontId="5"/>
  </si>
  <si>
    <t>業務用</t>
    <rPh sb="0" eb="3">
      <t>ギョウムヨウ</t>
    </rPh>
    <phoneticPr fontId="5"/>
  </si>
  <si>
    <t>20㎜</t>
    <phoneticPr fontId="5"/>
  </si>
  <si>
    <t>×</t>
    <phoneticPr fontId="5"/>
  </si>
  <si>
    <t>臨時用</t>
    <rPh sb="0" eb="2">
      <t>リンジ</t>
    </rPh>
    <rPh sb="2" eb="3">
      <t>ヨウ</t>
    </rPh>
    <phoneticPr fontId="5"/>
  </si>
  <si>
    <t>25㎜</t>
    <phoneticPr fontId="5"/>
  </si>
  <si>
    <r>
      <t>m</t>
    </r>
    <r>
      <rPr>
        <vertAlign val="superscript"/>
        <sz val="6"/>
        <rFont val="ＭＳ Ｐゴシック"/>
        <family val="3"/>
        <charset val="128"/>
      </rPr>
      <t>３</t>
    </r>
    <r>
      <rPr>
        <sz val="11"/>
        <color theme="1"/>
        <rFont val="游ゴシック"/>
        <family val="2"/>
        <charset val="128"/>
        <scheme val="minor"/>
      </rPr>
      <t>＝</t>
    </r>
    <phoneticPr fontId="5"/>
  </si>
  <si>
    <t>40㎜</t>
    <phoneticPr fontId="5"/>
  </si>
  <si>
    <t>50㎜</t>
    <phoneticPr fontId="5"/>
  </si>
  <si>
    <t>計</t>
    <rPh sb="0" eb="1">
      <t>ケイ</t>
    </rPh>
    <phoneticPr fontId="5"/>
  </si>
  <si>
    <r>
      <t>円</t>
    </r>
    <r>
      <rPr>
        <sz val="11"/>
        <color theme="1"/>
        <rFont val="游ゴシック"/>
        <family val="2"/>
        <charset val="128"/>
        <scheme val="minor"/>
      </rPr>
      <t xml:space="preserve"> </t>
    </r>
    <r>
      <rPr>
        <b/>
        <sz val="11"/>
        <rFont val="ＭＳ Ｐゴシック"/>
        <family val="3"/>
        <charset val="128"/>
      </rPr>
      <t>(B)</t>
    </r>
    <rPh sb="0" eb="1">
      <t>エン</t>
    </rPh>
    <phoneticPr fontId="5"/>
  </si>
  <si>
    <t>75㎜</t>
    <phoneticPr fontId="5"/>
  </si>
  <si>
    <r>
      <t>基本料金</t>
    </r>
    <r>
      <rPr>
        <b/>
        <sz val="11"/>
        <rFont val="ＭＳ Ｐゴシック"/>
        <family val="3"/>
        <charset val="128"/>
      </rPr>
      <t>(A)</t>
    </r>
    <r>
      <rPr>
        <sz val="11"/>
        <color theme="1"/>
        <rFont val="游ゴシック"/>
        <family val="2"/>
        <charset val="128"/>
        <scheme val="minor"/>
      </rPr>
      <t>＋超過料金</t>
    </r>
    <r>
      <rPr>
        <b/>
        <sz val="11"/>
        <rFont val="ＭＳ Ｐゴシック"/>
        <family val="3"/>
        <charset val="128"/>
      </rPr>
      <t>(B)</t>
    </r>
    <r>
      <rPr>
        <sz val="11"/>
        <color theme="1"/>
        <rFont val="游ゴシック"/>
        <family val="2"/>
        <charset val="128"/>
        <scheme val="minor"/>
      </rPr>
      <t>＜10円未満切捨＞</t>
    </r>
    <rPh sb="0" eb="2">
      <t>キホン</t>
    </rPh>
    <rPh sb="2" eb="4">
      <t>リョウキン</t>
    </rPh>
    <rPh sb="8" eb="10">
      <t>チョウカ</t>
    </rPh>
    <rPh sb="10" eb="12">
      <t>リョウキン</t>
    </rPh>
    <rPh sb="18" eb="19">
      <t>エン</t>
    </rPh>
    <rPh sb="19" eb="21">
      <t>ミマン</t>
    </rPh>
    <rPh sb="21" eb="23">
      <t>キリス</t>
    </rPh>
    <phoneticPr fontId="5"/>
  </si>
  <si>
    <r>
      <t xml:space="preserve">円 </t>
    </r>
    <r>
      <rPr>
        <b/>
        <sz val="11"/>
        <rFont val="ＭＳ Ｐゴシック"/>
        <family val="3"/>
        <charset val="128"/>
      </rPr>
      <t>(C)</t>
    </r>
    <rPh sb="0" eb="1">
      <t>エン</t>
    </rPh>
    <phoneticPr fontId="5"/>
  </si>
  <si>
    <t>100㎜</t>
    <phoneticPr fontId="5"/>
  </si>
  <si>
    <r>
      <t>(C)</t>
    </r>
    <r>
      <rPr>
        <sz val="11"/>
        <color theme="1"/>
        <rFont val="游ゴシック"/>
        <family val="2"/>
        <charset val="128"/>
        <scheme val="minor"/>
      </rPr>
      <t>×消費税10%＜1円未満切捨＞</t>
    </r>
    <rPh sb="4" eb="7">
      <t>ショウヒゼイ</t>
    </rPh>
    <rPh sb="12" eb="13">
      <t>エン</t>
    </rPh>
    <rPh sb="13" eb="15">
      <t>ミマン</t>
    </rPh>
    <rPh sb="15" eb="17">
      <t>キリス</t>
    </rPh>
    <phoneticPr fontId="5"/>
  </si>
  <si>
    <r>
      <t xml:space="preserve">円 </t>
    </r>
    <r>
      <rPr>
        <b/>
        <sz val="11"/>
        <rFont val="ＭＳ Ｐゴシック"/>
        <family val="3"/>
        <charset val="128"/>
      </rPr>
      <t>(D)</t>
    </r>
    <rPh sb="0" eb="1">
      <t>エン</t>
    </rPh>
    <phoneticPr fontId="5"/>
  </si>
  <si>
    <r>
      <t>計　</t>
    </r>
    <r>
      <rPr>
        <b/>
        <sz val="11"/>
        <rFont val="ＭＳ Ｐゴシック"/>
        <family val="3"/>
        <charset val="128"/>
      </rPr>
      <t>(C)</t>
    </r>
    <r>
      <rPr>
        <sz val="11"/>
        <color theme="1"/>
        <rFont val="游ゴシック"/>
        <family val="2"/>
        <charset val="128"/>
        <scheme val="minor"/>
      </rPr>
      <t>＋</t>
    </r>
    <r>
      <rPr>
        <b/>
        <sz val="11"/>
        <rFont val="ＭＳ Ｐゴシック"/>
        <family val="3"/>
        <charset val="128"/>
      </rPr>
      <t>(D)</t>
    </r>
    <rPh sb="0" eb="1">
      <t>ケイ</t>
    </rPh>
    <phoneticPr fontId="5"/>
  </si>
  <si>
    <r>
      <t>円</t>
    </r>
    <r>
      <rPr>
        <sz val="11"/>
        <color theme="1"/>
        <rFont val="游ゴシック"/>
        <family val="2"/>
        <charset val="128"/>
        <scheme val="minor"/>
      </rPr>
      <t xml:space="preserve"> </t>
    </r>
    <r>
      <rPr>
        <b/>
        <sz val="11"/>
        <rFont val="ＭＳ Ｐゴシック"/>
        <family val="3"/>
        <charset val="128"/>
      </rPr>
      <t>(E)</t>
    </r>
    <rPh sb="0" eb="1">
      <t>エン</t>
    </rPh>
    <phoneticPr fontId="5"/>
  </si>
  <si>
    <t>量水器使用料</t>
    <rPh sb="0" eb="1">
      <t>リョウ</t>
    </rPh>
    <rPh sb="1" eb="2">
      <t>スイ</t>
    </rPh>
    <rPh sb="2" eb="3">
      <t>キ</t>
    </rPh>
    <rPh sb="3" eb="6">
      <t>シヨウリョウ</t>
    </rPh>
    <phoneticPr fontId="5"/>
  </si>
  <si>
    <t>㎜＝</t>
    <phoneticPr fontId="5"/>
  </si>
  <si>
    <r>
      <t xml:space="preserve">円 </t>
    </r>
    <r>
      <rPr>
        <b/>
        <sz val="11"/>
        <rFont val="ＭＳ Ｐゴシック"/>
        <family val="3"/>
        <charset val="128"/>
      </rPr>
      <t>(F)</t>
    </r>
    <rPh sb="0" eb="1">
      <t>エン</t>
    </rPh>
    <phoneticPr fontId="5"/>
  </si>
  <si>
    <r>
      <t>(F)</t>
    </r>
    <r>
      <rPr>
        <sz val="11"/>
        <color theme="1"/>
        <rFont val="游ゴシック"/>
        <family val="2"/>
        <charset val="128"/>
        <scheme val="minor"/>
      </rPr>
      <t>×消費税10%＜1円未満切捨＞</t>
    </r>
    <rPh sb="4" eb="7">
      <t>ショウヒゼイ</t>
    </rPh>
    <rPh sb="12" eb="13">
      <t>エン</t>
    </rPh>
    <rPh sb="13" eb="15">
      <t>ミマン</t>
    </rPh>
    <rPh sb="15" eb="17">
      <t>キリス</t>
    </rPh>
    <phoneticPr fontId="5"/>
  </si>
  <si>
    <r>
      <t xml:space="preserve">円 </t>
    </r>
    <r>
      <rPr>
        <b/>
        <sz val="11"/>
        <rFont val="ＭＳ Ｐゴシック"/>
        <family val="3"/>
        <charset val="128"/>
      </rPr>
      <t>(G)</t>
    </r>
    <rPh sb="0" eb="1">
      <t>エン</t>
    </rPh>
    <phoneticPr fontId="5"/>
  </si>
  <si>
    <r>
      <t>計　</t>
    </r>
    <r>
      <rPr>
        <b/>
        <sz val="11"/>
        <rFont val="ＭＳ Ｐゴシック"/>
        <family val="3"/>
        <charset val="128"/>
      </rPr>
      <t>(F)</t>
    </r>
    <r>
      <rPr>
        <sz val="11"/>
        <color theme="1"/>
        <rFont val="游ゴシック"/>
        <family val="2"/>
        <charset val="128"/>
        <scheme val="minor"/>
      </rPr>
      <t>＋</t>
    </r>
    <r>
      <rPr>
        <b/>
        <sz val="11"/>
        <rFont val="ＭＳ Ｐゴシック"/>
        <family val="3"/>
        <charset val="128"/>
      </rPr>
      <t>(G)</t>
    </r>
    <rPh sb="0" eb="1">
      <t>ケイ</t>
    </rPh>
    <phoneticPr fontId="5"/>
  </si>
  <si>
    <r>
      <t xml:space="preserve">円 </t>
    </r>
    <r>
      <rPr>
        <b/>
        <sz val="11"/>
        <rFont val="ＭＳ Ｐゴシック"/>
        <family val="3"/>
        <charset val="128"/>
      </rPr>
      <t>(H)</t>
    </r>
    <rPh sb="0" eb="1">
      <t>エン</t>
    </rPh>
    <phoneticPr fontId="5"/>
  </si>
  <si>
    <r>
      <t>水道料金合計</t>
    </r>
    <r>
      <rPr>
        <b/>
        <sz val="11"/>
        <rFont val="ＭＳ Ｐゴシック"/>
        <family val="3"/>
        <charset val="128"/>
      </rPr>
      <t>(E)</t>
    </r>
    <r>
      <rPr>
        <sz val="11"/>
        <color theme="1"/>
        <rFont val="游ゴシック"/>
        <family val="2"/>
        <charset val="128"/>
        <scheme val="minor"/>
      </rPr>
      <t>＋</t>
    </r>
    <r>
      <rPr>
        <b/>
        <sz val="11"/>
        <rFont val="ＭＳ Ｐゴシック"/>
        <family val="3"/>
        <charset val="128"/>
      </rPr>
      <t>(H)</t>
    </r>
    <rPh sb="0" eb="2">
      <t>スイドウ</t>
    </rPh>
    <rPh sb="2" eb="4">
      <t>リョウキン</t>
    </rPh>
    <rPh sb="4" eb="6">
      <t>ゴウケイ</t>
    </rPh>
    <phoneticPr fontId="5"/>
  </si>
  <si>
    <r>
      <t xml:space="preserve">円 </t>
    </r>
    <r>
      <rPr>
        <b/>
        <sz val="11"/>
        <rFont val="ＭＳ Ｐゴシック"/>
        <family val="3"/>
        <charset val="128"/>
      </rPr>
      <t>(</t>
    </r>
    <r>
      <rPr>
        <b/>
        <sz val="3"/>
        <rFont val="ＭＳ Ｐゴシック"/>
        <family val="3"/>
        <charset val="128"/>
      </rPr>
      <t xml:space="preserve"> </t>
    </r>
    <r>
      <rPr>
        <b/>
        <sz val="11"/>
        <rFont val="ＭＳ Ｐゴシック"/>
        <family val="3"/>
        <charset val="128"/>
      </rPr>
      <t>I</t>
    </r>
    <r>
      <rPr>
        <b/>
        <sz val="3"/>
        <rFont val="ＭＳ Ｐゴシック"/>
        <family val="3"/>
        <charset val="128"/>
      </rPr>
      <t xml:space="preserve"> </t>
    </r>
    <r>
      <rPr>
        <b/>
        <sz val="11"/>
        <rFont val="ＭＳ Ｐゴシック"/>
        <family val="3"/>
        <charset val="128"/>
      </rPr>
      <t>)</t>
    </r>
    <rPh sb="0" eb="1">
      <t>エン</t>
    </rPh>
    <phoneticPr fontId="5"/>
  </si>
  <si>
    <t>2ヶ月</t>
    <rPh sb="2" eb="3">
      <t>ゲツ</t>
    </rPh>
    <phoneticPr fontId="5"/>
  </si>
  <si>
    <t>1.5ヶ月</t>
    <rPh sb="4" eb="5">
      <t>ゲツ</t>
    </rPh>
    <phoneticPr fontId="5"/>
  </si>
  <si>
    <t>1ヶ月</t>
    <rPh sb="2" eb="3">
      <t>ゲツ</t>
    </rPh>
    <phoneticPr fontId="5"/>
  </si>
  <si>
    <t>0.5ヶ月</t>
    <rPh sb="4" eb="5">
      <t>ゲツ</t>
    </rPh>
    <phoneticPr fontId="5"/>
  </si>
  <si>
    <t>下水道使用料</t>
    <rPh sb="0" eb="3">
      <t>ゲスイドウ</t>
    </rPh>
    <rPh sb="3" eb="6">
      <t>シヨウリョウ</t>
    </rPh>
    <phoneticPr fontId="5"/>
  </si>
  <si>
    <r>
      <t>m</t>
    </r>
    <r>
      <rPr>
        <vertAlign val="superscript"/>
        <sz val="6"/>
        <rFont val="ＭＳ Ｐゴシック"/>
        <family val="3"/>
        <charset val="128"/>
      </rPr>
      <t>３</t>
    </r>
    <r>
      <rPr>
        <sz val="11"/>
        <color theme="1"/>
        <rFont val="游ゴシック"/>
        <family val="2"/>
        <charset val="128"/>
        <scheme val="minor"/>
      </rPr>
      <t>まで</t>
    </r>
    <phoneticPr fontId="5"/>
  </si>
  <si>
    <r>
      <t>円</t>
    </r>
    <r>
      <rPr>
        <sz val="11"/>
        <color theme="1"/>
        <rFont val="游ゴシック"/>
        <family val="2"/>
        <charset val="128"/>
        <scheme val="minor"/>
      </rPr>
      <t xml:space="preserve"> </t>
    </r>
    <r>
      <rPr>
        <b/>
        <sz val="11"/>
        <rFont val="ＭＳ Ｐゴシック"/>
        <family val="3"/>
        <charset val="128"/>
      </rPr>
      <t>(J)</t>
    </r>
    <rPh sb="0" eb="1">
      <t>エン</t>
    </rPh>
    <phoneticPr fontId="5"/>
  </si>
  <si>
    <t>下水道</t>
    <rPh sb="0" eb="3">
      <t>ゲスイドウ</t>
    </rPh>
    <phoneticPr fontId="5"/>
  </si>
  <si>
    <t>使用している</t>
    <rPh sb="0" eb="2">
      <t>シヨウ</t>
    </rPh>
    <phoneticPr fontId="5"/>
  </si>
  <si>
    <t>使用していない</t>
    <rPh sb="0" eb="2">
      <t>シヨウ</t>
    </rPh>
    <phoneticPr fontId="5"/>
  </si>
  <si>
    <r>
      <t>円</t>
    </r>
    <r>
      <rPr>
        <sz val="11"/>
        <color theme="1"/>
        <rFont val="游ゴシック"/>
        <family val="2"/>
        <charset val="128"/>
        <scheme val="minor"/>
      </rPr>
      <t xml:space="preserve"> </t>
    </r>
    <r>
      <rPr>
        <b/>
        <sz val="11"/>
        <rFont val="ＭＳ Ｐゴシック"/>
        <family val="3"/>
        <charset val="128"/>
      </rPr>
      <t>(K)</t>
    </r>
    <rPh sb="0" eb="1">
      <t>エン</t>
    </rPh>
    <phoneticPr fontId="5"/>
  </si>
  <si>
    <r>
      <t>基本料金</t>
    </r>
    <r>
      <rPr>
        <b/>
        <sz val="11"/>
        <rFont val="ＭＳ Ｐゴシック"/>
        <family val="3"/>
        <charset val="128"/>
      </rPr>
      <t>(J)</t>
    </r>
    <r>
      <rPr>
        <sz val="11"/>
        <color theme="1"/>
        <rFont val="游ゴシック"/>
        <family val="2"/>
        <charset val="128"/>
        <scheme val="minor"/>
      </rPr>
      <t>＋超過料金</t>
    </r>
    <r>
      <rPr>
        <b/>
        <sz val="11"/>
        <rFont val="ＭＳ Ｐゴシック"/>
        <family val="3"/>
        <charset val="128"/>
      </rPr>
      <t>(K)</t>
    </r>
    <r>
      <rPr>
        <sz val="11"/>
        <color theme="1"/>
        <rFont val="游ゴシック"/>
        <family val="2"/>
        <charset val="128"/>
        <scheme val="minor"/>
      </rPr>
      <t>＜10円未満切捨＞</t>
    </r>
    <rPh sb="0" eb="2">
      <t>キホン</t>
    </rPh>
    <rPh sb="2" eb="4">
      <t>リョウキン</t>
    </rPh>
    <rPh sb="8" eb="10">
      <t>チョウカ</t>
    </rPh>
    <rPh sb="10" eb="12">
      <t>リョウキン</t>
    </rPh>
    <phoneticPr fontId="5"/>
  </si>
  <si>
    <r>
      <t xml:space="preserve">円 </t>
    </r>
    <r>
      <rPr>
        <b/>
        <sz val="11"/>
        <rFont val="ＭＳ Ｐゴシック"/>
        <family val="3"/>
        <charset val="128"/>
      </rPr>
      <t>(L)</t>
    </r>
    <rPh sb="0" eb="1">
      <t>エン</t>
    </rPh>
    <phoneticPr fontId="5"/>
  </si>
  <si>
    <r>
      <t>(L)</t>
    </r>
    <r>
      <rPr>
        <sz val="11"/>
        <color theme="1"/>
        <rFont val="游ゴシック"/>
        <family val="2"/>
        <charset val="128"/>
        <scheme val="minor"/>
      </rPr>
      <t>×消費税10%＜1円未満切捨＞</t>
    </r>
    <rPh sb="4" eb="7">
      <t>ショウヒゼイ</t>
    </rPh>
    <rPh sb="12" eb="13">
      <t>エン</t>
    </rPh>
    <rPh sb="13" eb="15">
      <t>ミマン</t>
    </rPh>
    <rPh sb="15" eb="17">
      <t>キリス</t>
    </rPh>
    <phoneticPr fontId="5"/>
  </si>
  <si>
    <r>
      <t xml:space="preserve">円 </t>
    </r>
    <r>
      <rPr>
        <b/>
        <sz val="11"/>
        <rFont val="ＭＳ Ｐゴシック"/>
        <family val="3"/>
        <charset val="128"/>
      </rPr>
      <t>(M)</t>
    </r>
    <rPh sb="0" eb="1">
      <t>エン</t>
    </rPh>
    <phoneticPr fontId="5"/>
  </si>
  <si>
    <r>
      <t>下水道料金合計</t>
    </r>
    <r>
      <rPr>
        <b/>
        <sz val="11"/>
        <rFont val="ＭＳ Ｐゴシック"/>
        <family val="3"/>
        <charset val="128"/>
      </rPr>
      <t>(L)</t>
    </r>
    <r>
      <rPr>
        <sz val="11"/>
        <color theme="1"/>
        <rFont val="游ゴシック"/>
        <family val="2"/>
        <charset val="128"/>
        <scheme val="minor"/>
      </rPr>
      <t>＋</t>
    </r>
    <r>
      <rPr>
        <b/>
        <sz val="11"/>
        <rFont val="ＭＳ Ｐゴシック"/>
        <family val="3"/>
        <charset val="128"/>
      </rPr>
      <t>(M)</t>
    </r>
    <rPh sb="0" eb="1">
      <t>シタ</t>
    </rPh>
    <rPh sb="1" eb="3">
      <t>スイドウ</t>
    </rPh>
    <rPh sb="3" eb="5">
      <t>リョウキン</t>
    </rPh>
    <rPh sb="5" eb="7">
      <t>ゴウケイ</t>
    </rPh>
    <phoneticPr fontId="5"/>
  </si>
  <si>
    <r>
      <t xml:space="preserve">円 </t>
    </r>
    <r>
      <rPr>
        <b/>
        <sz val="11"/>
        <rFont val="ＭＳ Ｐゴシック"/>
        <family val="3"/>
        <charset val="128"/>
      </rPr>
      <t>(N)</t>
    </r>
    <rPh sb="0" eb="1">
      <t>エン</t>
    </rPh>
    <phoneticPr fontId="5"/>
  </si>
  <si>
    <r>
      <t>上下水道料金総合計</t>
    </r>
    <r>
      <rPr>
        <b/>
        <sz val="12"/>
        <rFont val="ＭＳ Ｐゴシック"/>
        <family val="3"/>
        <charset val="128"/>
      </rPr>
      <t>(I)</t>
    </r>
    <r>
      <rPr>
        <sz val="12"/>
        <rFont val="ＭＳ Ｐゴシック"/>
        <family val="3"/>
        <charset val="128"/>
      </rPr>
      <t>＋</t>
    </r>
    <r>
      <rPr>
        <b/>
        <sz val="12"/>
        <rFont val="ＭＳ Ｐゴシック"/>
        <family val="3"/>
        <charset val="128"/>
      </rPr>
      <t>(N)</t>
    </r>
    <rPh sb="0" eb="2">
      <t>ジョウゲ</t>
    </rPh>
    <rPh sb="2" eb="4">
      <t>スイドウ</t>
    </rPh>
    <rPh sb="4" eb="6">
      <t>リョウキン</t>
    </rPh>
    <rPh sb="6" eb="8">
      <t>ソウゴウ</t>
    </rPh>
    <rPh sb="8" eb="9">
      <t>ケイ</t>
    </rPh>
    <phoneticPr fontId="5"/>
  </si>
  <si>
    <t>新上下水道料金簡易計算</t>
    <rPh sb="0" eb="1">
      <t>シン</t>
    </rPh>
    <rPh sb="1" eb="3">
      <t>ジョウゲ</t>
    </rPh>
    <rPh sb="3" eb="5">
      <t>スイドウ</t>
    </rPh>
    <rPh sb="5" eb="7">
      <t>リョウキン</t>
    </rPh>
    <rPh sb="7" eb="9">
      <t>カンイ</t>
    </rPh>
    <rPh sb="9" eb="11">
      <t>ケイサン</t>
    </rPh>
    <phoneticPr fontId="5"/>
  </si>
  <si>
    <t>口径</t>
    <rPh sb="0" eb="2">
      <t>コウケイ</t>
    </rPh>
    <phoneticPr fontId="5"/>
  </si>
  <si>
    <t>～ご利用にあたって～</t>
    <rPh sb="2" eb="4">
      <t>リヨウ</t>
    </rPh>
    <phoneticPr fontId="5"/>
  </si>
  <si>
    <t>×</t>
    <phoneticPr fontId="5"/>
  </si>
  <si>
    <r>
      <t>m</t>
    </r>
    <r>
      <rPr>
        <vertAlign val="superscript"/>
        <sz val="6"/>
        <rFont val="ＭＳ Ｐゴシック"/>
        <family val="3"/>
        <charset val="128"/>
      </rPr>
      <t>３</t>
    </r>
    <r>
      <rPr>
        <sz val="11"/>
        <color theme="1"/>
        <rFont val="游ゴシック"/>
        <family val="2"/>
        <charset val="128"/>
        <scheme val="minor"/>
      </rPr>
      <t>＝</t>
    </r>
    <phoneticPr fontId="5"/>
  </si>
  <si>
    <r>
      <t>※下記の項目を</t>
    </r>
    <r>
      <rPr>
        <b/>
        <u/>
        <sz val="11"/>
        <rFont val="ＭＳ Ｐゴシック"/>
        <family val="3"/>
        <charset val="128"/>
      </rPr>
      <t>ドロップダウンリストから選択</t>
    </r>
    <r>
      <rPr>
        <sz val="11"/>
        <color theme="1"/>
        <rFont val="游ゴシック"/>
        <family val="2"/>
        <charset val="128"/>
        <scheme val="minor"/>
      </rPr>
      <t>してください。</t>
    </r>
    <rPh sb="1" eb="3">
      <t>カキ</t>
    </rPh>
    <rPh sb="4" eb="6">
      <t>コウモク</t>
    </rPh>
    <rPh sb="19" eb="21">
      <t>センタク</t>
    </rPh>
    <phoneticPr fontId="5"/>
  </si>
  <si>
    <r>
      <t>※「水量／排水量」は</t>
    </r>
    <r>
      <rPr>
        <b/>
        <u/>
        <sz val="11"/>
        <color indexed="10"/>
        <rFont val="ＭＳ Ｐゴシック"/>
        <family val="3"/>
        <charset val="128"/>
      </rPr>
      <t>整数値を入力</t>
    </r>
    <r>
      <rPr>
        <sz val="11"/>
        <color theme="1"/>
        <rFont val="游ゴシック"/>
        <family val="2"/>
        <charset val="128"/>
        <scheme val="minor"/>
      </rPr>
      <t>して下さい。</t>
    </r>
    <rPh sb="2" eb="4">
      <t>スイリョウ</t>
    </rPh>
    <rPh sb="5" eb="7">
      <t>ハイスイ</t>
    </rPh>
    <rPh sb="7" eb="8">
      <t>リョウ</t>
    </rPh>
    <rPh sb="10" eb="12">
      <t>セイスウ</t>
    </rPh>
    <rPh sb="12" eb="13">
      <t>チ</t>
    </rPh>
    <rPh sb="14" eb="16">
      <t>ニュウリョク</t>
    </rPh>
    <rPh sb="18" eb="19">
      <t>クダ</t>
    </rPh>
    <phoneticPr fontId="5"/>
  </si>
  <si>
    <t>☆　使用月数</t>
    <rPh sb="2" eb="4">
      <t>シヨウ</t>
    </rPh>
    <rPh sb="4" eb="6">
      <t>ツキスウ</t>
    </rPh>
    <phoneticPr fontId="5"/>
  </si>
  <si>
    <r>
      <t>基本料金</t>
    </r>
    <r>
      <rPr>
        <b/>
        <sz val="11"/>
        <rFont val="ＭＳ Ｐゴシック"/>
        <family val="3"/>
        <charset val="128"/>
      </rPr>
      <t>(A)</t>
    </r>
    <r>
      <rPr>
        <sz val="11"/>
        <color theme="1"/>
        <rFont val="游ゴシック"/>
        <family val="2"/>
        <charset val="128"/>
        <scheme val="minor"/>
      </rPr>
      <t>＋超過料金</t>
    </r>
    <r>
      <rPr>
        <b/>
        <sz val="11"/>
        <rFont val="ＭＳ Ｐゴシック"/>
        <family val="3"/>
        <charset val="128"/>
      </rPr>
      <t>(B)</t>
    </r>
    <rPh sb="0" eb="2">
      <t>キホン</t>
    </rPh>
    <rPh sb="2" eb="4">
      <t>リョウキン</t>
    </rPh>
    <rPh sb="8" eb="10">
      <t>チョウカ</t>
    </rPh>
    <rPh sb="10" eb="12">
      <t>リョウキン</t>
    </rPh>
    <phoneticPr fontId="5"/>
  </si>
  <si>
    <r>
      <t>●「2ヶ月」</t>
    </r>
    <r>
      <rPr>
        <sz val="11"/>
        <color theme="1"/>
        <rFont val="游ゴシック"/>
        <family val="2"/>
        <charset val="128"/>
        <scheme val="minor"/>
      </rPr>
      <t>：</t>
    </r>
    <rPh sb="4" eb="5">
      <t>ゲツ</t>
    </rPh>
    <phoneticPr fontId="5"/>
  </si>
  <si>
    <r>
      <t>4</t>
    </r>
    <r>
      <rPr>
        <sz val="11"/>
        <color theme="1"/>
        <rFont val="游ゴシック"/>
        <family val="2"/>
        <charset val="128"/>
        <scheme val="minor"/>
      </rPr>
      <t>6日～60日</t>
    </r>
    <rPh sb="2" eb="3">
      <t>ニチ</t>
    </rPh>
    <rPh sb="6" eb="7">
      <t>ニチ</t>
    </rPh>
    <phoneticPr fontId="5"/>
  </si>
  <si>
    <r>
      <t>●「1</t>
    </r>
    <r>
      <rPr>
        <sz val="11"/>
        <color theme="1"/>
        <rFont val="游ゴシック"/>
        <family val="2"/>
        <charset val="128"/>
        <scheme val="minor"/>
      </rPr>
      <t>.5</t>
    </r>
    <r>
      <rPr>
        <sz val="11"/>
        <color theme="1"/>
        <rFont val="游ゴシック"/>
        <family val="2"/>
        <charset val="128"/>
        <scheme val="minor"/>
      </rPr>
      <t>ヶ月」：</t>
    </r>
    <rPh sb="6" eb="7">
      <t>ゲツ</t>
    </rPh>
    <phoneticPr fontId="5"/>
  </si>
  <si>
    <t>31日～45日</t>
    <rPh sb="2" eb="3">
      <t>ニチ</t>
    </rPh>
    <rPh sb="6" eb="7">
      <t>ニチ</t>
    </rPh>
    <phoneticPr fontId="5"/>
  </si>
  <si>
    <t>●「1ヶ月」：</t>
    <rPh sb="4" eb="5">
      <t>ゲツ</t>
    </rPh>
    <phoneticPr fontId="5"/>
  </si>
  <si>
    <t>16日～30日</t>
    <rPh sb="2" eb="3">
      <t>ニチ</t>
    </rPh>
    <rPh sb="6" eb="7">
      <t>ニチ</t>
    </rPh>
    <phoneticPr fontId="5"/>
  </si>
  <si>
    <r>
      <t>●「0</t>
    </r>
    <r>
      <rPr>
        <sz val="11"/>
        <color theme="1"/>
        <rFont val="游ゴシック"/>
        <family val="2"/>
        <charset val="128"/>
        <scheme val="minor"/>
      </rPr>
      <t>.5</t>
    </r>
    <r>
      <rPr>
        <sz val="11"/>
        <color theme="1"/>
        <rFont val="游ゴシック"/>
        <family val="2"/>
        <charset val="128"/>
        <scheme val="minor"/>
      </rPr>
      <t>ヶ月」：</t>
    </r>
    <rPh sb="6" eb="7">
      <t>ゲツ</t>
    </rPh>
    <phoneticPr fontId="5"/>
  </si>
  <si>
    <t xml:space="preserve"> 1日～15日</t>
    <rPh sb="2" eb="3">
      <t>ニチ</t>
    </rPh>
    <rPh sb="6" eb="7">
      <t>ニチ</t>
    </rPh>
    <phoneticPr fontId="5"/>
  </si>
  <si>
    <t>☆　メーター口径</t>
    <rPh sb="6" eb="8">
      <t>コウケイ</t>
    </rPh>
    <phoneticPr fontId="5"/>
  </si>
  <si>
    <r>
      <t>m</t>
    </r>
    <r>
      <rPr>
        <vertAlign val="superscript"/>
        <sz val="6"/>
        <rFont val="ＭＳ Ｐゴシック"/>
        <family val="3"/>
        <charset val="128"/>
      </rPr>
      <t>３</t>
    </r>
    <r>
      <rPr>
        <sz val="11"/>
        <color theme="1"/>
        <rFont val="游ゴシック"/>
        <family val="2"/>
        <charset val="128"/>
        <scheme val="minor"/>
      </rPr>
      <t>＝</t>
    </r>
    <phoneticPr fontId="5"/>
  </si>
  <si>
    <t>㎜</t>
    <phoneticPr fontId="5"/>
  </si>
  <si>
    <r>
      <t>●「1</t>
    </r>
    <r>
      <rPr>
        <sz val="11"/>
        <color theme="1"/>
        <rFont val="游ゴシック"/>
        <family val="2"/>
        <charset val="128"/>
        <scheme val="minor"/>
      </rPr>
      <t>3㎜」、「20㎜」、「25㎜」、「40㎜」、「50㎜」、「75㎜」、「100㎜」から選択。</t>
    </r>
    <rPh sb="45" eb="47">
      <t>センタク</t>
    </rPh>
    <phoneticPr fontId="5"/>
  </si>
  <si>
    <t>　 「13㎜」が水道利用者で最も多い。</t>
    <phoneticPr fontId="5"/>
  </si>
  <si>
    <t>☆　下水道</t>
    <rPh sb="2" eb="5">
      <t>ゲスイドウ</t>
    </rPh>
    <phoneticPr fontId="5"/>
  </si>
  <si>
    <t>●「使用している」、「使用していない」のどちらかを選択。</t>
    <rPh sb="2" eb="4">
      <t>シヨウ</t>
    </rPh>
    <rPh sb="11" eb="13">
      <t>シヨウ</t>
    </rPh>
    <rPh sb="25" eb="27">
      <t>センタク</t>
    </rPh>
    <phoneticPr fontId="5"/>
  </si>
  <si>
    <t>●下水道は水道水のみ使用している方。</t>
    <rPh sb="1" eb="4">
      <t>ゲスイドウ</t>
    </rPh>
    <rPh sb="5" eb="8">
      <t>スイドウスイ</t>
    </rPh>
    <rPh sb="10" eb="12">
      <t>シヨウ</t>
    </rPh>
    <rPh sb="16" eb="17">
      <t>カタ</t>
    </rPh>
    <phoneticPr fontId="5"/>
  </si>
  <si>
    <t>☆　水量／排水量</t>
    <rPh sb="2" eb="4">
      <t>スイリョウ</t>
    </rPh>
    <rPh sb="5" eb="7">
      <t>ハイスイ</t>
    </rPh>
    <rPh sb="7" eb="8">
      <t>リョウ</t>
    </rPh>
    <phoneticPr fontId="5"/>
  </si>
  <si>
    <t>㎥</t>
    <phoneticPr fontId="5"/>
  </si>
  <si>
    <r>
      <t>●使用水量／排水量を</t>
    </r>
    <r>
      <rPr>
        <b/>
        <u/>
        <sz val="11"/>
        <color indexed="10"/>
        <rFont val="ＭＳ Ｐゴシック"/>
        <family val="3"/>
        <charset val="128"/>
      </rPr>
      <t>整数値で入力</t>
    </r>
    <r>
      <rPr>
        <sz val="11"/>
        <color indexed="10"/>
        <rFont val="ＭＳ Ｐゴシック"/>
        <family val="3"/>
        <charset val="128"/>
      </rPr>
      <t>。</t>
    </r>
    <rPh sb="1" eb="3">
      <t>シヨウ</t>
    </rPh>
    <rPh sb="3" eb="5">
      <t>スイリョウ</t>
    </rPh>
    <rPh sb="6" eb="8">
      <t>ハイスイ</t>
    </rPh>
    <rPh sb="8" eb="9">
      <t>リョウ</t>
    </rPh>
    <rPh sb="10" eb="12">
      <t>セイスウ</t>
    </rPh>
    <rPh sb="12" eb="13">
      <t>チ</t>
    </rPh>
    <rPh sb="14" eb="16">
      <t>ニュウリョク</t>
    </rPh>
    <phoneticPr fontId="5"/>
  </si>
  <si>
    <t>☆　水道用途</t>
    <rPh sb="2" eb="4">
      <t>スイドウ</t>
    </rPh>
    <rPh sb="4" eb="6">
      <t>ヨウト</t>
    </rPh>
    <phoneticPr fontId="5"/>
  </si>
  <si>
    <t>一般用</t>
  </si>
  <si>
    <t>●「一般用」：</t>
    <rPh sb="2" eb="5">
      <t>イッパンヨウ</t>
    </rPh>
    <phoneticPr fontId="5"/>
  </si>
  <si>
    <t>一般家庭において水道を使用する場合。</t>
    <phoneticPr fontId="5"/>
  </si>
  <si>
    <t>水道利用者で最も多い。</t>
  </si>
  <si>
    <t>●「業務用」：</t>
    <rPh sb="2" eb="5">
      <t>ギョウムヨウ</t>
    </rPh>
    <phoneticPr fontId="5"/>
  </si>
  <si>
    <t>「一般用」及び「臨時用」のいずれにも該当しない場合。</t>
  </si>
  <si>
    <t>●「臨時用」：</t>
    <rPh sb="2" eb="4">
      <t>リンジ</t>
    </rPh>
    <rPh sb="4" eb="5">
      <t>ヨウ</t>
    </rPh>
    <phoneticPr fontId="5"/>
  </si>
  <si>
    <t>建設工事、興行その他臨時に水道を使用する場合。</t>
  </si>
  <si>
    <t>　 「13㎜」が水道利用者で最も多い。</t>
    <phoneticPr fontId="5"/>
  </si>
  <si>
    <t>使用している</t>
  </si>
  <si>
    <t>旧</t>
    <rPh sb="0" eb="1">
      <t>キュウ</t>
    </rPh>
    <phoneticPr fontId="5"/>
  </si>
  <si>
    <t>水道料金＋量水器使用料</t>
    <rPh sb="0" eb="2">
      <t>スイドウ</t>
    </rPh>
    <rPh sb="2" eb="4">
      <t>リョウキン</t>
    </rPh>
    <rPh sb="5" eb="8">
      <t>リョウスイキ</t>
    </rPh>
    <rPh sb="8" eb="10">
      <t>シヨウ</t>
    </rPh>
    <rPh sb="10" eb="11">
      <t>リョウ</t>
    </rPh>
    <phoneticPr fontId="5"/>
  </si>
  <si>
    <t>新</t>
    <rPh sb="0" eb="1">
      <t>シン</t>
    </rPh>
    <phoneticPr fontId="5"/>
  </si>
  <si>
    <t>消費税</t>
    <rPh sb="0" eb="3">
      <t>ショウヒゼイ</t>
    </rPh>
    <phoneticPr fontId="5"/>
  </si>
  <si>
    <t>水道料金合計</t>
    <rPh sb="0" eb="2">
      <t>スイドウ</t>
    </rPh>
    <rPh sb="2" eb="4">
      <t>リョウキン</t>
    </rPh>
    <rPh sb="4" eb="6">
      <t>ゴウケイ</t>
    </rPh>
    <phoneticPr fontId="5"/>
  </si>
  <si>
    <t>下水道料金</t>
    <rPh sb="0" eb="1">
      <t>ゲ</t>
    </rPh>
    <rPh sb="1" eb="3">
      <t>スイドウ</t>
    </rPh>
    <rPh sb="3" eb="5">
      <t>リョウキン</t>
    </rPh>
    <phoneticPr fontId="5"/>
  </si>
  <si>
    <t>下水道料金合計</t>
    <rPh sb="0" eb="1">
      <t>シタ</t>
    </rPh>
    <rPh sb="1" eb="3">
      <t>スイドウ</t>
    </rPh>
    <rPh sb="3" eb="5">
      <t>リョウキン</t>
    </rPh>
    <rPh sb="5" eb="7">
      <t>ゴウケイ</t>
    </rPh>
    <phoneticPr fontId="5"/>
  </si>
  <si>
    <t>上下水道料金合計</t>
    <rPh sb="0" eb="2">
      <t>ジョウゲ</t>
    </rPh>
    <rPh sb="2" eb="4">
      <t>スイドウ</t>
    </rPh>
    <rPh sb="4" eb="6">
      <t>リョウキン</t>
    </rPh>
    <rPh sb="6" eb="8">
      <t>ゴウケイ</t>
    </rPh>
    <phoneticPr fontId="5"/>
  </si>
  <si>
    <t>新旧差額（改定増額分）</t>
    <rPh sb="0" eb="2">
      <t>シンキュウ</t>
    </rPh>
    <rPh sb="2" eb="4">
      <t>サガク</t>
    </rPh>
    <rPh sb="5" eb="7">
      <t>カイテイ</t>
    </rPh>
    <rPh sb="7" eb="9">
      <t>ゾウガク</t>
    </rPh>
    <rPh sb="9" eb="10">
      <t>ブン</t>
    </rPh>
    <phoneticPr fontId="5"/>
  </si>
  <si>
    <t>2ヶ月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</si>
</sst>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2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4"/>
      <name val="ＭＳ Ｐゴシック"/>
      <family val="3"/>
      <charset val="128"/>
    </font>
    <font>
      <b/>
      <sz val="20"/>
      <name val="ＭＳ Ｐゴシック"/>
      <family val="3"/>
      <charset val="128"/>
    </font>
    <font>
      <sz val="6"/>
      <name val="ＭＳ Ｐゴシック"/>
      <family val="3"/>
      <charset val="128"/>
    </font>
    <font>
      <sz val="14"/>
      <color indexed="10"/>
      <name val="ＭＳ Ｐゴシック"/>
      <family val="3"/>
      <charset val="128"/>
    </font>
    <font>
      <sz val="14"/>
      <color theme="0"/>
      <name val="ＭＳ Ｐゴシック"/>
      <family val="3"/>
      <charset val="128"/>
    </font>
    <font>
      <b/>
      <sz val="20"/>
      <color indexed="10"/>
      <name val="ＭＳ Ｐゴシック"/>
      <family val="3"/>
      <charset val="128"/>
    </font>
    <font>
      <sz val="14"/>
      <color rgb="FFFF0000"/>
      <name val="ＭＳ Ｐゴシック"/>
      <family val="3"/>
      <charset val="128"/>
    </font>
    <font>
      <sz val="11"/>
      <color rgb="FFFF0000"/>
      <name val="ＭＳ Ｐゴシック"/>
      <family val="3"/>
      <charset val="128"/>
    </font>
    <font>
      <sz val="11"/>
      <color theme="0"/>
      <name val="ＭＳ Ｐゴシック"/>
      <family val="3"/>
      <charset val="128"/>
    </font>
    <font>
      <vertAlign val="superscript"/>
      <sz val="6"/>
      <name val="ＭＳ Ｐゴシック"/>
      <family val="3"/>
      <charset val="128"/>
    </font>
    <font>
      <b/>
      <sz val="11"/>
      <name val="ＭＳ Ｐゴシック"/>
      <family val="3"/>
      <charset val="128"/>
    </font>
    <font>
      <b/>
      <sz val="3"/>
      <name val="ＭＳ Ｐゴシック"/>
      <family val="3"/>
      <charset val="128"/>
    </font>
    <font>
      <sz val="12"/>
      <name val="ＭＳ Ｐゴシック"/>
      <family val="3"/>
      <charset val="128"/>
    </font>
    <font>
      <b/>
      <sz val="12"/>
      <name val="ＭＳ Ｐゴシック"/>
      <family val="3"/>
      <charset val="128"/>
    </font>
    <font>
      <b/>
      <sz val="18"/>
      <color indexed="10"/>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font>
    <font>
      <b/>
      <u/>
      <sz val="11"/>
      <name val="ＭＳ Ｐゴシック"/>
      <family val="3"/>
      <charset val="128"/>
    </font>
    <font>
      <b/>
      <u/>
      <sz val="11"/>
      <color indexed="10"/>
      <name val="ＭＳ Ｐゴシック"/>
      <family val="3"/>
      <charset val="128"/>
    </font>
    <font>
      <sz val="11"/>
      <color indexed="10"/>
      <name val="ＭＳ Ｐゴシック"/>
      <family val="3"/>
      <charset val="128"/>
    </font>
    <font>
      <b/>
      <sz val="14"/>
      <color indexed="12"/>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dotted">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bottom style="medium">
        <color indexed="64"/>
      </bottom>
      <diagonal/>
    </border>
    <border>
      <left style="double">
        <color indexed="10"/>
      </left>
      <right/>
      <top style="double">
        <color indexed="10"/>
      </top>
      <bottom/>
      <diagonal/>
    </border>
    <border>
      <left/>
      <right/>
      <top style="double">
        <color indexed="10"/>
      </top>
      <bottom/>
      <diagonal/>
    </border>
    <border>
      <left/>
      <right style="double">
        <color indexed="10"/>
      </right>
      <top style="double">
        <color indexed="10"/>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uble">
        <color indexed="10"/>
      </left>
      <right/>
      <top/>
      <bottom/>
      <diagonal/>
    </border>
    <border>
      <left/>
      <right style="double">
        <color indexed="10"/>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cellStyleXfs>
  <cellXfs count="271">
    <xf numFmtId="0" fontId="0" fillId="0" borderId="0" xfId="0">
      <alignment vertical="center"/>
    </xf>
    <xf numFmtId="0" fontId="3" fillId="2" borderId="0" xfId="1" applyFont="1" applyFill="1"/>
    <xf numFmtId="38" fontId="4" fillId="2" borderId="0" xfId="2" applyFont="1" applyFill="1" applyAlignment="1">
      <alignment horizontal="center" vertical="center"/>
    </xf>
    <xf numFmtId="0" fontId="6" fillId="2" borderId="0" xfId="1" applyFont="1" applyFill="1"/>
    <xf numFmtId="0" fontId="7" fillId="2" borderId="0" xfId="1" applyFont="1" applyFill="1"/>
    <xf numFmtId="0" fontId="4"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xf numFmtId="0" fontId="2" fillId="2" borderId="0" xfId="1" applyFill="1"/>
    <xf numFmtId="0" fontId="2" fillId="2" borderId="0" xfId="1" applyFill="1" applyBorder="1"/>
    <xf numFmtId="0" fontId="2" fillId="2" borderId="0" xfId="1" applyFill="1" applyAlignment="1">
      <alignment shrinkToFit="1"/>
    </xf>
    <xf numFmtId="0" fontId="10" fillId="2" borderId="0" xfId="1" applyFont="1" applyFill="1"/>
    <xf numFmtId="0" fontId="11" fillId="2" borderId="0" xfId="1" applyFont="1" applyFill="1"/>
    <xf numFmtId="0" fontId="2" fillId="2" borderId="0" xfId="1" applyFill="1" applyAlignment="1">
      <alignment vertical="center"/>
    </xf>
    <xf numFmtId="0" fontId="2" fillId="2" borderId="2" xfId="1" applyFont="1" applyFill="1" applyBorder="1" applyAlignment="1">
      <alignment horizontal="center" vertical="center" textRotation="255" shrinkToFit="1"/>
    </xf>
    <xf numFmtId="0" fontId="2" fillId="2" borderId="3"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4" xfId="1" applyFont="1" applyFill="1" applyBorder="1" applyAlignment="1">
      <alignment vertical="center" shrinkToFit="1"/>
    </xf>
    <xf numFmtId="0" fontId="2" fillId="2" borderId="5" xfId="1" applyFill="1" applyBorder="1" applyAlignment="1">
      <alignment horizontal="center" vertical="center" shrinkToFit="1"/>
    </xf>
    <xf numFmtId="0" fontId="2" fillId="2" borderId="6" xfId="1" applyFill="1" applyBorder="1" applyAlignment="1">
      <alignment horizontal="center" vertical="center" shrinkToFit="1"/>
    </xf>
    <xf numFmtId="0" fontId="2" fillId="2" borderId="6" xfId="1" applyFill="1" applyBorder="1" applyAlignment="1">
      <alignment vertical="center" shrinkToFit="1"/>
    </xf>
    <xf numFmtId="38" fontId="2" fillId="2" borderId="6" xfId="2" applyFill="1" applyBorder="1" applyAlignment="1">
      <alignment horizontal="right" vertical="center" shrinkToFit="1"/>
    </xf>
    <xf numFmtId="3" fontId="2" fillId="2" borderId="6" xfId="1" applyNumberFormat="1" applyFill="1" applyBorder="1" applyAlignment="1">
      <alignment vertical="center" shrinkToFit="1"/>
    </xf>
    <xf numFmtId="0" fontId="2" fillId="2" borderId="7" xfId="1" applyFont="1" applyFill="1" applyBorder="1" applyAlignment="1">
      <alignment vertical="center" shrinkToFit="1"/>
    </xf>
    <xf numFmtId="0" fontId="2" fillId="2" borderId="0" xfId="1" applyFont="1" applyFill="1" applyBorder="1" applyAlignment="1">
      <alignment vertical="center" shrinkToFit="1"/>
    </xf>
    <xf numFmtId="0" fontId="11" fillId="2" borderId="0" xfId="1" applyFont="1" applyFill="1" applyAlignment="1"/>
    <xf numFmtId="0" fontId="11" fillId="2" borderId="0" xfId="1" applyNumberFormat="1" applyFont="1" applyFill="1"/>
    <xf numFmtId="0" fontId="10" fillId="2" borderId="0" xfId="1" applyFont="1" applyFill="1" applyAlignment="1"/>
    <xf numFmtId="0" fontId="2" fillId="2" borderId="8" xfId="1" applyFont="1" applyFill="1" applyBorder="1" applyAlignment="1">
      <alignment horizontal="center" vertical="center" textRotation="255" shrinkToFit="1"/>
    </xf>
    <xf numFmtId="0" fontId="2" fillId="2" borderId="9"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vertical="center" shrinkToFit="1"/>
    </xf>
    <xf numFmtId="0" fontId="2" fillId="2" borderId="12" xfId="1" applyFill="1" applyBorder="1" applyAlignment="1">
      <alignment horizontal="right" vertical="center" shrinkToFit="1"/>
    </xf>
    <xf numFmtId="0" fontId="2" fillId="2" borderId="13" xfId="1" applyFont="1" applyFill="1" applyBorder="1" applyAlignment="1">
      <alignment vertical="center" shrinkToFit="1"/>
    </xf>
    <xf numFmtId="0" fontId="2" fillId="2" borderId="13" xfId="1" applyFill="1" applyBorder="1" applyAlignment="1">
      <alignment horizontal="right" vertical="center" shrinkToFit="1"/>
    </xf>
    <xf numFmtId="0" fontId="2" fillId="2" borderId="14" xfId="1" applyFont="1" applyFill="1" applyBorder="1" applyAlignment="1">
      <alignment horizontal="right" vertical="center" shrinkToFit="1"/>
    </xf>
    <xf numFmtId="0" fontId="2" fillId="2" borderId="13" xfId="1" applyFill="1" applyBorder="1" applyAlignment="1">
      <alignment horizontal="center" vertical="center" shrinkToFit="1"/>
    </xf>
    <xf numFmtId="38" fontId="2" fillId="2" borderId="13" xfId="2" applyFill="1" applyBorder="1" applyAlignment="1">
      <alignment vertical="center" shrinkToFit="1"/>
    </xf>
    <xf numFmtId="0" fontId="2" fillId="2" borderId="15" xfId="1" applyFill="1" applyBorder="1" applyAlignment="1">
      <alignment vertical="center" shrinkToFit="1"/>
    </xf>
    <xf numFmtId="0" fontId="2" fillId="2" borderId="0" xfId="1" applyFill="1" applyBorder="1" applyAlignment="1">
      <alignment vertical="center" shrinkToFit="1"/>
    </xf>
    <xf numFmtId="0" fontId="2" fillId="2" borderId="16" xfId="1" applyFont="1" applyFill="1" applyBorder="1" applyAlignment="1">
      <alignment vertical="center" shrinkToFit="1"/>
    </xf>
    <xf numFmtId="0" fontId="2" fillId="2" borderId="17" xfId="1" applyFill="1" applyBorder="1" applyAlignment="1">
      <alignment horizontal="right" vertical="center" shrinkToFit="1"/>
    </xf>
    <xf numFmtId="0" fontId="2" fillId="2" borderId="18" xfId="1" applyFont="1" applyFill="1" applyBorder="1" applyAlignment="1">
      <alignment vertical="center" shrinkToFit="1"/>
    </xf>
    <xf numFmtId="0" fontId="2" fillId="2" borderId="18" xfId="1" applyFill="1" applyBorder="1" applyAlignment="1">
      <alignment horizontal="right" vertical="center" shrinkToFit="1"/>
    </xf>
    <xf numFmtId="0" fontId="2" fillId="2" borderId="18" xfId="1" applyFont="1" applyFill="1" applyBorder="1" applyAlignment="1">
      <alignment horizontal="right" vertical="center" shrinkToFit="1"/>
    </xf>
    <xf numFmtId="0" fontId="2" fillId="2" borderId="18" xfId="1" applyFill="1" applyBorder="1" applyAlignment="1">
      <alignment horizontal="center" vertical="center" shrinkToFit="1"/>
    </xf>
    <xf numFmtId="38" fontId="2" fillId="2" borderId="18" xfId="2" applyFill="1" applyBorder="1" applyAlignment="1">
      <alignment vertical="center" shrinkToFit="1"/>
    </xf>
    <xf numFmtId="0" fontId="2" fillId="2" borderId="19" xfId="1" applyFill="1" applyBorder="1" applyAlignment="1">
      <alignment vertical="center" shrinkToFit="1"/>
    </xf>
    <xf numFmtId="0" fontId="2" fillId="2" borderId="0" xfId="1" applyFont="1" applyFill="1" applyBorder="1" applyAlignment="1">
      <alignment horizontal="right" vertical="center" shrinkToFit="1"/>
    </xf>
    <xf numFmtId="0" fontId="10" fillId="2" borderId="0" xfId="1" applyFont="1" applyFill="1" applyBorder="1"/>
    <xf numFmtId="0" fontId="11" fillId="2" borderId="0" xfId="1" applyFont="1" applyFill="1" applyBorder="1"/>
    <xf numFmtId="0" fontId="2" fillId="2" borderId="20" xfId="1" applyFill="1" applyBorder="1" applyAlignment="1">
      <alignment horizontal="right" vertical="center" shrinkToFit="1"/>
    </xf>
    <xf numFmtId="0" fontId="2" fillId="2" borderId="21" xfId="1" applyFont="1" applyFill="1" applyBorder="1" applyAlignment="1">
      <alignment vertical="center" shrinkToFit="1"/>
    </xf>
    <xf numFmtId="0" fontId="2" fillId="2" borderId="21" xfId="1" applyFill="1" applyBorder="1" applyAlignment="1">
      <alignment horizontal="right" vertical="center" shrinkToFit="1"/>
    </xf>
    <xf numFmtId="0" fontId="2" fillId="2" borderId="21" xfId="1" applyFill="1" applyBorder="1" applyAlignment="1">
      <alignment horizontal="center" vertical="center" shrinkToFit="1"/>
    </xf>
    <xf numFmtId="38" fontId="2" fillId="2" borderId="21" xfId="2" applyFill="1" applyBorder="1" applyAlignment="1">
      <alignment vertical="center" shrinkToFit="1"/>
    </xf>
    <xf numFmtId="0" fontId="2" fillId="2" borderId="22" xfId="1" applyFill="1" applyBorder="1" applyAlignment="1">
      <alignment vertical="center" shrinkToFit="1"/>
    </xf>
    <xf numFmtId="0" fontId="2" fillId="2" borderId="23" xfId="1" applyFont="1" applyFill="1" applyBorder="1" applyAlignment="1">
      <alignment horizontal="center" vertical="center" shrinkToFit="1"/>
    </xf>
    <xf numFmtId="0" fontId="2" fillId="2" borderId="23" xfId="1" applyFont="1" applyFill="1" applyBorder="1" applyAlignment="1">
      <alignment vertical="center" shrinkToFit="1"/>
    </xf>
    <xf numFmtId="0" fontId="2" fillId="2" borderId="24" xfId="1" applyFill="1" applyBorder="1" applyAlignment="1">
      <alignment horizontal="right" vertical="center" shrinkToFit="1"/>
    </xf>
    <xf numFmtId="0" fontId="2" fillId="2" borderId="25" xfId="1" applyFont="1" applyFill="1" applyBorder="1" applyAlignment="1">
      <alignment vertical="center" shrinkToFit="1"/>
    </xf>
    <xf numFmtId="0" fontId="2" fillId="2" borderId="25" xfId="1" applyFill="1" applyBorder="1" applyAlignment="1">
      <alignment horizontal="center" vertical="center" shrinkToFit="1"/>
    </xf>
    <xf numFmtId="38" fontId="2" fillId="2" borderId="26" xfId="2" applyFill="1" applyBorder="1" applyAlignment="1">
      <alignment horizontal="right" vertical="center" shrinkToFit="1"/>
    </xf>
    <xf numFmtId="38" fontId="2" fillId="2" borderId="25" xfId="2" applyFill="1" applyBorder="1" applyAlignment="1">
      <alignment vertical="center" shrinkToFit="1"/>
    </xf>
    <xf numFmtId="0" fontId="2" fillId="2" borderId="27" xfId="1" applyFont="1" applyFill="1" applyBorder="1" applyAlignment="1">
      <alignment vertical="center" shrinkToFit="1"/>
    </xf>
    <xf numFmtId="0" fontId="2" fillId="2" borderId="28" xfId="1" applyFont="1" applyFill="1" applyBorder="1" applyAlignment="1">
      <alignment vertical="center" shrinkToFit="1"/>
    </xf>
    <xf numFmtId="0" fontId="2" fillId="2" borderId="29" xfId="1" applyFill="1" applyBorder="1" applyAlignment="1">
      <alignment vertical="center" shrinkToFit="1"/>
    </xf>
    <xf numFmtId="0" fontId="2" fillId="2" borderId="28" xfId="1" applyFill="1" applyBorder="1" applyAlignment="1">
      <alignment horizontal="right" vertical="center" shrinkToFit="1"/>
    </xf>
    <xf numFmtId="0" fontId="2" fillId="2" borderId="30" xfId="1" applyFont="1" applyFill="1" applyBorder="1" applyAlignment="1">
      <alignment vertical="center" shrinkToFit="1"/>
    </xf>
    <xf numFmtId="0" fontId="2" fillId="2" borderId="30" xfId="1" applyFill="1" applyBorder="1" applyAlignment="1">
      <alignment vertical="center" shrinkToFit="1"/>
    </xf>
    <xf numFmtId="38" fontId="2" fillId="2" borderId="30" xfId="2" applyFill="1" applyBorder="1" applyAlignment="1">
      <alignment horizontal="right" vertical="center" shrinkToFit="1"/>
    </xf>
    <xf numFmtId="0" fontId="2" fillId="2" borderId="30" xfId="1" applyFill="1" applyBorder="1" applyAlignment="1">
      <alignment horizontal="center" vertical="center" shrinkToFit="1"/>
    </xf>
    <xf numFmtId="38" fontId="2" fillId="2" borderId="30" xfId="2" applyFill="1" applyBorder="1" applyAlignment="1">
      <alignment vertical="center" shrinkToFit="1"/>
    </xf>
    <xf numFmtId="0" fontId="2" fillId="2" borderId="31" xfId="1" applyFont="1" applyFill="1" applyBorder="1" applyAlignment="1">
      <alignment vertical="center" shrinkToFit="1"/>
    </xf>
    <xf numFmtId="0" fontId="13" fillId="2" borderId="1" xfId="1" applyFont="1" applyFill="1" applyBorder="1" applyAlignment="1">
      <alignment vertical="center" shrinkToFit="1"/>
    </xf>
    <xf numFmtId="0" fontId="2" fillId="2" borderId="1" xfId="1" applyFont="1" applyFill="1" applyBorder="1" applyAlignment="1">
      <alignment vertical="center" shrinkToFit="1"/>
    </xf>
    <xf numFmtId="0" fontId="2" fillId="2" borderId="32" xfId="1" applyFont="1" applyFill="1" applyBorder="1" applyAlignment="1">
      <alignment horizontal="center" vertical="center" shrinkToFit="1"/>
    </xf>
    <xf numFmtId="0" fontId="2" fillId="2" borderId="33" xfId="1" applyFont="1" applyFill="1" applyBorder="1" applyAlignment="1">
      <alignment horizontal="left" vertical="center" shrinkToFit="1"/>
    </xf>
    <xf numFmtId="0" fontId="2" fillId="2" borderId="34" xfId="1" applyFont="1" applyFill="1" applyBorder="1" applyAlignment="1">
      <alignment horizontal="left" vertical="center" shrinkToFit="1"/>
    </xf>
    <xf numFmtId="0" fontId="2" fillId="2" borderId="33" xfId="1" applyFill="1" applyBorder="1" applyAlignment="1">
      <alignment horizontal="right" vertical="center" shrinkToFit="1"/>
    </xf>
    <xf numFmtId="0" fontId="2" fillId="2" borderId="35" xfId="1" applyFont="1" applyFill="1" applyBorder="1" applyAlignment="1">
      <alignment vertical="center" shrinkToFit="1"/>
    </xf>
    <xf numFmtId="0" fontId="2" fillId="2" borderId="35" xfId="1" applyFill="1" applyBorder="1" applyAlignment="1">
      <alignment vertical="center" shrinkToFit="1"/>
    </xf>
    <xf numFmtId="38" fontId="2" fillId="2" borderId="35" xfId="2" applyFill="1" applyBorder="1" applyAlignment="1">
      <alignment horizontal="right" vertical="center" shrinkToFit="1"/>
    </xf>
    <xf numFmtId="0" fontId="2" fillId="2" borderId="35" xfId="1" applyFill="1" applyBorder="1" applyAlignment="1">
      <alignment horizontal="center" vertical="center" shrinkToFit="1"/>
    </xf>
    <xf numFmtId="38" fontId="2" fillId="2" borderId="35" xfId="2" applyFill="1" applyBorder="1" applyAlignment="1">
      <alignment vertical="center" shrinkToFit="1"/>
    </xf>
    <xf numFmtId="0" fontId="2" fillId="2" borderId="36" xfId="1" applyFont="1" applyFill="1" applyBorder="1" applyAlignment="1">
      <alignment vertical="center" shrinkToFit="1"/>
    </xf>
    <xf numFmtId="0" fontId="2" fillId="2" borderId="37" xfId="1" applyFont="1" applyFill="1" applyBorder="1" applyAlignment="1">
      <alignment horizontal="center" vertical="center" textRotation="255" shrinkToFit="1"/>
    </xf>
    <xf numFmtId="0" fontId="2" fillId="2" borderId="38" xfId="1" applyFont="1" applyFill="1" applyBorder="1" applyAlignment="1">
      <alignment horizontal="center" vertical="center" shrinkToFit="1"/>
    </xf>
    <xf numFmtId="0" fontId="2" fillId="2" borderId="25" xfId="1" applyFont="1" applyFill="1" applyBorder="1" applyAlignment="1">
      <alignment vertical="center" shrinkToFit="1"/>
    </xf>
    <xf numFmtId="0" fontId="2" fillId="2" borderId="39" xfId="1" applyFont="1" applyFill="1" applyBorder="1" applyAlignment="1">
      <alignment vertical="center" shrinkToFit="1"/>
    </xf>
    <xf numFmtId="0" fontId="2" fillId="2" borderId="25" xfId="1" applyFill="1" applyBorder="1" applyAlignment="1">
      <alignment vertical="center" shrinkToFit="1"/>
    </xf>
    <xf numFmtId="3" fontId="2" fillId="2" borderId="25" xfId="1" applyNumberFormat="1" applyFill="1" applyBorder="1" applyAlignment="1">
      <alignment vertical="center" shrinkToFit="1"/>
    </xf>
    <xf numFmtId="0" fontId="2" fillId="2" borderId="25" xfId="1" applyFont="1" applyFill="1" applyBorder="1" applyAlignment="1">
      <alignment horizontal="center" vertical="center" shrinkToFit="1"/>
    </xf>
    <xf numFmtId="0" fontId="13" fillId="2" borderId="28" xfId="1" applyFont="1" applyFill="1" applyBorder="1" applyAlignment="1">
      <alignment vertical="center" shrinkToFit="1"/>
    </xf>
    <xf numFmtId="0" fontId="2" fillId="2" borderId="29" xfId="1" applyFont="1" applyFill="1" applyBorder="1" applyAlignment="1">
      <alignment vertical="center" shrinkToFit="1"/>
    </xf>
    <xf numFmtId="0" fontId="2" fillId="2" borderId="40" xfId="1" applyFill="1" applyBorder="1" applyAlignment="1">
      <alignment horizontal="right" vertical="center" shrinkToFit="1"/>
    </xf>
    <xf numFmtId="0" fontId="2" fillId="2" borderId="14" xfId="1" applyFont="1" applyFill="1" applyBorder="1" applyAlignment="1">
      <alignment vertical="center" shrinkToFit="1"/>
    </xf>
    <xf numFmtId="0" fontId="2" fillId="2" borderId="14" xfId="1" applyFont="1" applyFill="1" applyBorder="1" applyAlignment="1">
      <alignment horizontal="center" vertical="center" shrinkToFit="1"/>
    </xf>
    <xf numFmtId="38" fontId="2" fillId="2" borderId="14" xfId="2" applyFill="1" applyBorder="1" applyAlignment="1">
      <alignment vertical="center" shrinkToFit="1"/>
    </xf>
    <xf numFmtId="0" fontId="2" fillId="2" borderId="41" xfId="1" applyFont="1" applyFill="1" applyBorder="1" applyAlignment="1">
      <alignment horizontal="center" vertical="center" shrinkToFit="1"/>
    </xf>
    <xf numFmtId="0" fontId="2" fillId="2" borderId="42" xfId="1" applyFont="1" applyFill="1" applyBorder="1" applyAlignment="1">
      <alignment horizontal="left" vertical="center" shrinkToFit="1"/>
    </xf>
    <xf numFmtId="0" fontId="2" fillId="2" borderId="43" xfId="1" applyFont="1" applyFill="1" applyBorder="1" applyAlignment="1">
      <alignment horizontal="left" vertical="center" shrinkToFit="1"/>
    </xf>
    <xf numFmtId="0" fontId="2" fillId="2" borderId="42" xfId="1" applyFill="1" applyBorder="1" applyAlignment="1">
      <alignment horizontal="right" vertical="center" shrinkToFit="1"/>
    </xf>
    <xf numFmtId="0" fontId="2" fillId="2" borderId="44" xfId="1" applyFont="1" applyFill="1" applyBorder="1" applyAlignment="1">
      <alignment vertical="center" shrinkToFit="1"/>
    </xf>
    <xf numFmtId="0" fontId="2" fillId="2" borderId="44" xfId="1" applyFill="1" applyBorder="1" applyAlignment="1">
      <alignment vertical="center" shrinkToFit="1"/>
    </xf>
    <xf numFmtId="38" fontId="2" fillId="2" borderId="44" xfId="2" applyFill="1" applyBorder="1" applyAlignment="1">
      <alignment horizontal="right" vertical="center" shrinkToFit="1"/>
    </xf>
    <xf numFmtId="0" fontId="2" fillId="2" borderId="44" xfId="1" applyFont="1" applyFill="1" applyBorder="1" applyAlignment="1">
      <alignment horizontal="center" vertical="center" shrinkToFit="1"/>
    </xf>
    <xf numFmtId="38" fontId="2" fillId="2" borderId="44" xfId="2" applyFill="1" applyBorder="1" applyAlignment="1">
      <alignment vertical="center" shrinkToFit="1"/>
    </xf>
    <xf numFmtId="0" fontId="2" fillId="2" borderId="45" xfId="1" applyFont="1" applyFill="1" applyBorder="1" applyAlignment="1">
      <alignment vertical="center" shrinkToFit="1"/>
    </xf>
    <xf numFmtId="0" fontId="2" fillId="2" borderId="46" xfId="1" applyFont="1" applyFill="1" applyBorder="1" applyAlignment="1">
      <alignment horizontal="center" vertical="center" textRotation="255" shrinkToFit="1"/>
    </xf>
    <xf numFmtId="0" fontId="2" fillId="2" borderId="47" xfId="1" applyFont="1" applyFill="1" applyBorder="1" applyAlignment="1">
      <alignment horizontal="center" vertical="center" shrinkToFit="1"/>
    </xf>
    <xf numFmtId="0" fontId="2" fillId="2" borderId="48" xfId="1" applyFont="1" applyFill="1" applyBorder="1" applyAlignment="1">
      <alignment horizontal="center" vertical="center" shrinkToFit="1"/>
    </xf>
    <xf numFmtId="0" fontId="2" fillId="2" borderId="49" xfId="1" applyFill="1" applyBorder="1" applyAlignment="1">
      <alignment horizontal="right" vertical="center" shrinkToFit="1"/>
    </xf>
    <xf numFmtId="0" fontId="2" fillId="2" borderId="48" xfId="1" applyFont="1" applyFill="1" applyBorder="1" applyAlignment="1">
      <alignment vertical="center" shrinkToFit="1"/>
    </xf>
    <xf numFmtId="0" fontId="2" fillId="2" borderId="48" xfId="1" applyFill="1" applyBorder="1" applyAlignment="1">
      <alignment vertical="center" shrinkToFit="1"/>
    </xf>
    <xf numFmtId="38" fontId="2" fillId="2" borderId="48" xfId="2" applyFill="1" applyBorder="1" applyAlignment="1">
      <alignment horizontal="right" vertical="center" shrinkToFit="1"/>
    </xf>
    <xf numFmtId="0" fontId="2" fillId="2" borderId="48" xfId="1" applyFont="1" applyFill="1" applyBorder="1" applyAlignment="1">
      <alignment horizontal="center" vertical="center" shrinkToFit="1"/>
    </xf>
    <xf numFmtId="38" fontId="13" fillId="2" borderId="48" xfId="2" applyNumberFormat="1" applyFont="1" applyFill="1" applyBorder="1" applyAlignment="1">
      <alignment vertical="center" shrinkToFit="1"/>
    </xf>
    <xf numFmtId="0" fontId="2" fillId="2" borderId="50" xfId="1" applyFont="1" applyFill="1" applyBorder="1" applyAlignment="1">
      <alignment vertical="center" shrinkToFit="1"/>
    </xf>
    <xf numFmtId="0" fontId="11" fillId="2" borderId="0" xfId="1" applyFont="1" applyFill="1" applyAlignment="1">
      <alignment horizontal="right"/>
    </xf>
    <xf numFmtId="0" fontId="10" fillId="2" borderId="0" xfId="1" applyFont="1" applyFill="1" applyAlignment="1">
      <alignment horizontal="right"/>
    </xf>
    <xf numFmtId="0" fontId="2" fillId="2" borderId="51" xfId="1" applyFont="1" applyFill="1" applyBorder="1" applyAlignment="1">
      <alignment horizontal="center" vertical="center" textRotation="255" shrinkToFit="1"/>
    </xf>
    <xf numFmtId="0" fontId="2" fillId="2" borderId="52" xfId="1" applyFont="1" applyFill="1" applyBorder="1" applyAlignment="1">
      <alignment horizontal="center" shrinkToFit="1"/>
    </xf>
    <xf numFmtId="0" fontId="2" fillId="2" borderId="53" xfId="1" applyFont="1" applyFill="1" applyBorder="1" applyAlignment="1">
      <alignment horizontal="center" shrinkToFit="1"/>
    </xf>
    <xf numFmtId="0" fontId="2" fillId="2" borderId="54" xfId="1" applyFill="1" applyBorder="1" applyAlignment="1">
      <alignment horizontal="center" shrinkToFit="1"/>
    </xf>
    <xf numFmtId="0" fontId="2" fillId="2" borderId="0" xfId="1" applyFill="1" applyBorder="1" applyAlignment="1">
      <alignment horizontal="center" shrinkToFit="1"/>
    </xf>
    <xf numFmtId="0" fontId="2" fillId="2" borderId="0" xfId="1" applyFill="1" applyBorder="1" applyAlignment="1">
      <alignment shrinkToFit="1"/>
    </xf>
    <xf numFmtId="0" fontId="2" fillId="2" borderId="0" xfId="1" applyFont="1" applyFill="1"/>
    <xf numFmtId="0" fontId="2" fillId="2" borderId="55" xfId="1" applyFont="1" applyFill="1" applyBorder="1" applyAlignment="1">
      <alignment shrinkToFit="1"/>
    </xf>
    <xf numFmtId="0" fontId="2" fillId="2" borderId="0" xfId="1" applyFont="1" applyFill="1" applyBorder="1" applyAlignment="1">
      <alignment shrinkToFit="1"/>
    </xf>
    <xf numFmtId="0" fontId="2" fillId="2" borderId="56" xfId="1" applyFont="1" applyFill="1" applyBorder="1" applyAlignment="1">
      <alignment horizontal="center" vertical="center" textRotation="255" shrinkToFit="1"/>
    </xf>
    <xf numFmtId="0" fontId="2" fillId="2" borderId="40" xfId="1" applyFont="1" applyFill="1" applyBorder="1" applyAlignment="1">
      <alignment horizontal="center" vertical="center" shrinkToFit="1"/>
    </xf>
    <xf numFmtId="0" fontId="2" fillId="2" borderId="14" xfId="1" applyFont="1" applyFill="1" applyBorder="1" applyAlignment="1">
      <alignment horizontal="center" vertical="center" shrinkToFit="1"/>
    </xf>
    <xf numFmtId="3" fontId="2" fillId="2" borderId="57" xfId="1" applyNumberFormat="1" applyFill="1" applyBorder="1" applyAlignment="1">
      <alignment vertical="center" shrinkToFit="1"/>
    </xf>
    <xf numFmtId="0" fontId="2" fillId="2" borderId="58" xfId="1" applyFont="1" applyFill="1" applyBorder="1" applyAlignment="1">
      <alignment shrinkToFit="1"/>
    </xf>
    <xf numFmtId="0" fontId="2" fillId="2" borderId="58" xfId="1" applyFill="1" applyBorder="1" applyAlignment="1">
      <alignment horizontal="right" shrinkToFit="1"/>
    </xf>
    <xf numFmtId="0" fontId="2" fillId="2" borderId="58" xfId="1" applyFill="1" applyBorder="1" applyAlignment="1">
      <alignment horizontal="center" shrinkToFit="1"/>
    </xf>
    <xf numFmtId="38" fontId="2" fillId="2" borderId="14" xfId="2" applyFill="1" applyBorder="1" applyAlignment="1">
      <alignment shrinkToFit="1"/>
    </xf>
    <xf numFmtId="0" fontId="2" fillId="2" borderId="59" xfId="1" applyFill="1" applyBorder="1" applyAlignment="1">
      <alignment shrinkToFit="1"/>
    </xf>
    <xf numFmtId="0" fontId="2" fillId="2" borderId="54" xfId="1" applyFont="1" applyFill="1" applyBorder="1" applyAlignment="1">
      <alignment horizontal="center" vertical="center" shrinkToFit="1"/>
    </xf>
    <xf numFmtId="0" fontId="2" fillId="2" borderId="0" xfId="1" applyFont="1" applyFill="1" applyBorder="1" applyAlignment="1">
      <alignment horizontal="center" vertical="center" shrinkToFit="1"/>
    </xf>
    <xf numFmtId="3" fontId="2" fillId="2" borderId="60" xfId="1" applyNumberFormat="1" applyFill="1" applyBorder="1" applyAlignment="1">
      <alignment vertical="center" shrinkToFit="1"/>
    </xf>
    <xf numFmtId="0" fontId="2" fillId="2" borderId="61" xfId="1" applyFont="1" applyFill="1" applyBorder="1" applyAlignment="1">
      <alignment shrinkToFit="1"/>
    </xf>
    <xf numFmtId="0" fontId="2" fillId="2" borderId="61" xfId="1" applyFill="1" applyBorder="1" applyAlignment="1">
      <alignment horizontal="right" shrinkToFit="1"/>
    </xf>
    <xf numFmtId="0" fontId="2" fillId="2" borderId="61" xfId="1" applyFill="1" applyBorder="1" applyAlignment="1">
      <alignment horizontal="center" shrinkToFit="1"/>
    </xf>
    <xf numFmtId="38" fontId="2" fillId="2" borderId="62" xfId="2" applyFill="1" applyBorder="1" applyAlignment="1">
      <alignment shrinkToFit="1"/>
    </xf>
    <xf numFmtId="0" fontId="2" fillId="2" borderId="63" xfId="1" applyFill="1" applyBorder="1" applyAlignment="1">
      <alignment shrinkToFit="1"/>
    </xf>
    <xf numFmtId="3" fontId="2" fillId="2" borderId="54" xfId="1" applyNumberFormat="1" applyFill="1" applyBorder="1" applyAlignment="1">
      <alignment vertical="center" shrinkToFit="1"/>
    </xf>
    <xf numFmtId="38" fontId="2" fillId="2" borderId="61" xfId="2" applyFill="1" applyBorder="1" applyAlignment="1">
      <alignment shrinkToFit="1"/>
    </xf>
    <xf numFmtId="3" fontId="2" fillId="2" borderId="64" xfId="1" applyNumberFormat="1" applyFill="1" applyBorder="1" applyAlignment="1">
      <alignment vertical="center" shrinkToFit="1"/>
    </xf>
    <xf numFmtId="38" fontId="2" fillId="2" borderId="0" xfId="2" applyFill="1" applyBorder="1" applyAlignment="1">
      <alignment shrinkToFit="1"/>
    </xf>
    <xf numFmtId="38" fontId="11" fillId="2" borderId="0" xfId="2" applyFont="1" applyFill="1" applyBorder="1" applyAlignment="1">
      <alignment horizontal="right" vertical="center" shrinkToFit="1"/>
    </xf>
    <xf numFmtId="0" fontId="2" fillId="2" borderId="24" xfId="1" applyFont="1" applyFill="1" applyBorder="1" applyAlignment="1">
      <alignment horizontal="center" vertical="center" shrinkToFit="1"/>
    </xf>
    <xf numFmtId="0" fontId="2" fillId="2" borderId="25" xfId="1" applyFont="1" applyFill="1" applyBorder="1" applyAlignment="1">
      <alignment horizontal="center" vertical="center" shrinkToFit="1"/>
    </xf>
    <xf numFmtId="0" fontId="2" fillId="2" borderId="23" xfId="1" applyFont="1" applyFill="1" applyBorder="1" applyAlignment="1">
      <alignment shrinkToFit="1"/>
    </xf>
    <xf numFmtId="0" fontId="2" fillId="2" borderId="24" xfId="1" applyFill="1" applyBorder="1" applyAlignment="1">
      <alignment shrinkToFit="1"/>
    </xf>
    <xf numFmtId="0" fontId="2" fillId="2" borderId="25" xfId="1" applyFill="1" applyBorder="1" applyAlignment="1">
      <alignment shrinkToFit="1"/>
    </xf>
    <xf numFmtId="38" fontId="2" fillId="2" borderId="25" xfId="2" applyFill="1" applyBorder="1" applyAlignment="1">
      <alignment shrinkToFit="1"/>
    </xf>
    <xf numFmtId="0" fontId="2" fillId="2" borderId="27" xfId="1" applyFont="1" applyFill="1" applyBorder="1" applyAlignment="1">
      <alignment shrinkToFit="1"/>
    </xf>
    <xf numFmtId="0" fontId="2" fillId="2" borderId="30" xfId="1" applyFont="1" applyFill="1" applyBorder="1" applyAlignment="1">
      <alignment vertical="center" shrinkToFit="1"/>
    </xf>
    <xf numFmtId="0" fontId="13" fillId="2" borderId="42" xfId="1" applyFont="1" applyFill="1" applyBorder="1" applyAlignment="1">
      <alignment vertical="center" shrinkToFit="1"/>
    </xf>
    <xf numFmtId="0" fontId="13" fillId="2" borderId="44" xfId="1" applyFont="1" applyFill="1" applyBorder="1" applyAlignment="1">
      <alignment vertical="center" shrinkToFit="1"/>
    </xf>
    <xf numFmtId="0" fontId="13" fillId="2" borderId="43" xfId="1" applyFont="1" applyFill="1" applyBorder="1" applyAlignment="1">
      <alignment vertical="center" shrinkToFit="1"/>
    </xf>
    <xf numFmtId="0" fontId="2" fillId="2" borderId="42" xfId="1" applyFill="1" applyBorder="1" applyAlignment="1">
      <alignment shrinkToFit="1"/>
    </xf>
    <xf numFmtId="0" fontId="2" fillId="2" borderId="44" xfId="1" applyFill="1" applyBorder="1" applyAlignment="1">
      <alignment shrinkToFit="1"/>
    </xf>
    <xf numFmtId="0" fontId="2" fillId="2" borderId="45" xfId="1" applyFont="1" applyFill="1" applyBorder="1" applyAlignment="1">
      <alignment shrinkToFit="1"/>
    </xf>
    <xf numFmtId="0" fontId="2" fillId="2" borderId="65" xfId="1" applyFont="1" applyFill="1" applyBorder="1" applyAlignment="1">
      <alignment horizontal="center" vertical="center" textRotation="255" shrinkToFit="1"/>
    </xf>
    <xf numFmtId="0" fontId="2" fillId="2" borderId="66" xfId="1" applyFont="1" applyFill="1" applyBorder="1" applyAlignment="1">
      <alignment horizontal="center" vertical="center" shrinkToFit="1"/>
    </xf>
    <xf numFmtId="0" fontId="2" fillId="2" borderId="52" xfId="1" applyFont="1" applyFill="1" applyBorder="1" applyAlignment="1">
      <alignment horizontal="center" vertical="center" shrinkToFit="1"/>
    </xf>
    <xf numFmtId="0" fontId="2" fillId="2" borderId="53" xfId="1" applyFont="1" applyFill="1" applyBorder="1" applyAlignment="1">
      <alignment horizontal="center" vertical="center" shrinkToFit="1"/>
    </xf>
    <xf numFmtId="0" fontId="2" fillId="2" borderId="67" xfId="1" applyFill="1" applyBorder="1" applyAlignment="1">
      <alignment horizontal="right" vertical="center" shrinkToFit="1"/>
    </xf>
    <xf numFmtId="0" fontId="2" fillId="2" borderId="52" xfId="1" applyFont="1" applyFill="1" applyBorder="1" applyAlignment="1">
      <alignment vertical="center" shrinkToFit="1"/>
    </xf>
    <xf numFmtId="0" fontId="2" fillId="2" borderId="52" xfId="1" applyFill="1" applyBorder="1" applyAlignment="1">
      <alignment vertical="center" shrinkToFit="1"/>
    </xf>
    <xf numFmtId="38" fontId="2" fillId="2" borderId="52" xfId="2" applyFill="1" applyBorder="1" applyAlignment="1">
      <alignment horizontal="right" vertical="center" shrinkToFit="1"/>
    </xf>
    <xf numFmtId="0" fontId="2" fillId="2" borderId="52" xfId="1" applyFont="1" applyFill="1" applyBorder="1" applyAlignment="1">
      <alignment horizontal="center" vertical="center" shrinkToFit="1"/>
    </xf>
    <xf numFmtId="38" fontId="13" fillId="2" borderId="0" xfId="2" applyNumberFormat="1" applyFont="1" applyFill="1" applyBorder="1" applyAlignment="1">
      <alignment vertical="center" shrinkToFit="1"/>
    </xf>
    <xf numFmtId="0" fontId="2" fillId="2" borderId="55" xfId="1" applyFont="1" applyFill="1" applyBorder="1" applyAlignment="1">
      <alignment vertical="center" shrinkToFit="1"/>
    </xf>
    <xf numFmtId="38" fontId="11" fillId="2" borderId="0" xfId="2" applyFont="1" applyFill="1" applyBorder="1" applyAlignment="1">
      <alignment horizontal="right" shrinkToFit="1"/>
    </xf>
    <xf numFmtId="0" fontId="15" fillId="2" borderId="68" xfId="1" applyFont="1" applyFill="1" applyBorder="1" applyAlignment="1">
      <alignment horizontal="center" vertical="center" shrinkToFit="1"/>
    </xf>
    <xf numFmtId="0" fontId="15" fillId="2" borderId="69" xfId="1" applyFont="1" applyFill="1" applyBorder="1" applyAlignment="1">
      <alignment horizontal="center" vertical="center" shrinkToFit="1"/>
    </xf>
    <xf numFmtId="0" fontId="15" fillId="2" borderId="70" xfId="1" applyFont="1" applyFill="1" applyBorder="1" applyAlignment="1">
      <alignment horizontal="center" vertical="center" shrinkToFit="1"/>
    </xf>
    <xf numFmtId="0" fontId="2" fillId="2" borderId="69" xfId="1" applyFill="1" applyBorder="1" applyAlignment="1">
      <alignment shrinkToFit="1"/>
    </xf>
    <xf numFmtId="38" fontId="17" fillId="2" borderId="69" xfId="1" applyNumberFormat="1" applyFont="1" applyFill="1" applyBorder="1" applyAlignment="1">
      <alignment horizontal="right" vertical="center" shrinkToFit="1"/>
    </xf>
    <xf numFmtId="0" fontId="18" fillId="2" borderId="71" xfId="1" applyFont="1" applyFill="1" applyBorder="1" applyAlignment="1">
      <alignment vertical="center" shrinkToFit="1"/>
    </xf>
    <xf numFmtId="0" fontId="18" fillId="2" borderId="0" xfId="1" applyFont="1" applyFill="1" applyBorder="1" applyAlignment="1">
      <alignment vertical="center" shrinkToFit="1"/>
    </xf>
    <xf numFmtId="0" fontId="15" fillId="2" borderId="72" xfId="1" applyFont="1" applyFill="1" applyBorder="1" applyAlignment="1">
      <alignment horizontal="center" vertical="center" shrinkToFit="1"/>
    </xf>
    <xf numFmtId="0" fontId="15" fillId="2" borderId="73" xfId="1" applyFont="1" applyFill="1" applyBorder="1" applyAlignment="1">
      <alignment horizontal="center" vertical="center" shrinkToFit="1"/>
    </xf>
    <xf numFmtId="0" fontId="15" fillId="2" borderId="74" xfId="1" applyFont="1" applyFill="1" applyBorder="1" applyAlignment="1">
      <alignment horizontal="center" vertical="center" shrinkToFit="1"/>
    </xf>
    <xf numFmtId="0" fontId="2" fillId="2" borderId="73" xfId="1" applyFill="1" applyBorder="1" applyAlignment="1">
      <alignment shrinkToFit="1"/>
    </xf>
    <xf numFmtId="38" fontId="17" fillId="2" borderId="73" xfId="1" applyNumberFormat="1" applyFont="1" applyFill="1" applyBorder="1" applyAlignment="1">
      <alignment horizontal="right" vertical="center" shrinkToFit="1"/>
    </xf>
    <xf numFmtId="0" fontId="19" fillId="2" borderId="75" xfId="3" applyFont="1" applyFill="1" applyBorder="1" applyAlignment="1">
      <alignment vertical="center" shrinkToFit="1"/>
    </xf>
    <xf numFmtId="0" fontId="19" fillId="2" borderId="0" xfId="3" applyFont="1" applyFill="1" applyBorder="1" applyAlignment="1">
      <alignment vertical="center" shrinkToFit="1"/>
    </xf>
    <xf numFmtId="0" fontId="2" fillId="2" borderId="76" xfId="1" applyFill="1" applyBorder="1"/>
    <xf numFmtId="0" fontId="2" fillId="2" borderId="66" xfId="1" applyFont="1" applyFill="1" applyBorder="1" applyAlignment="1">
      <alignment horizontal="center" vertical="center" textRotation="255" shrinkToFit="1"/>
    </xf>
    <xf numFmtId="0" fontId="20" fillId="2" borderId="77" xfId="1" applyFont="1" applyFill="1" applyBorder="1" applyAlignment="1">
      <alignment vertical="center" shrinkToFit="1"/>
    </xf>
    <xf numFmtId="0" fontId="20" fillId="2" borderId="78" xfId="1" applyFont="1" applyFill="1" applyBorder="1" applyAlignment="1">
      <alignment vertical="center" shrinkToFit="1"/>
    </xf>
    <xf numFmtId="0" fontId="2" fillId="2" borderId="78" xfId="1" applyFill="1" applyBorder="1"/>
    <xf numFmtId="0" fontId="2" fillId="2" borderId="78" xfId="1" applyFont="1" applyFill="1" applyBorder="1" applyAlignment="1">
      <alignment vertical="center"/>
    </xf>
    <xf numFmtId="0" fontId="2" fillId="2" borderId="79" xfId="1" applyFont="1" applyFill="1" applyBorder="1" applyAlignment="1">
      <alignment vertical="center"/>
    </xf>
    <xf numFmtId="38" fontId="10" fillId="2" borderId="0" xfId="2" applyFont="1" applyFill="1" applyAlignment="1"/>
    <xf numFmtId="0" fontId="2" fillId="2" borderId="80" xfId="1" applyFont="1" applyFill="1" applyBorder="1" applyAlignment="1">
      <alignment vertical="center" shrinkToFit="1"/>
    </xf>
    <xf numFmtId="0" fontId="2" fillId="2" borderId="81" xfId="1" applyFill="1" applyBorder="1" applyAlignment="1">
      <alignment horizontal="right" vertical="center" shrinkToFit="1"/>
    </xf>
    <xf numFmtId="0" fontId="2" fillId="2" borderId="82" xfId="1" applyFont="1" applyFill="1" applyBorder="1" applyAlignment="1">
      <alignment vertical="center" shrinkToFit="1"/>
    </xf>
    <xf numFmtId="0" fontId="2" fillId="2" borderId="82" xfId="1" applyFill="1" applyBorder="1" applyAlignment="1">
      <alignment horizontal="right" vertical="center" shrinkToFit="1"/>
    </xf>
    <xf numFmtId="0" fontId="2" fillId="2" borderId="13" xfId="1" applyFont="1" applyFill="1" applyBorder="1" applyAlignment="1">
      <alignment horizontal="right" vertical="center" shrinkToFit="1"/>
    </xf>
    <xf numFmtId="0" fontId="2" fillId="2" borderId="82" xfId="1" applyFill="1" applyBorder="1" applyAlignment="1">
      <alignment horizontal="center" vertical="center" shrinkToFit="1"/>
    </xf>
    <xf numFmtId="38" fontId="2" fillId="2" borderId="82" xfId="2" applyFill="1" applyBorder="1" applyAlignment="1">
      <alignment vertical="center" shrinkToFit="1"/>
    </xf>
    <xf numFmtId="0" fontId="2" fillId="2" borderId="83" xfId="1" applyFill="1" applyBorder="1" applyAlignment="1">
      <alignment vertical="center" shrinkToFit="1"/>
    </xf>
    <xf numFmtId="0" fontId="20" fillId="2" borderId="84" xfId="1" applyFont="1" applyFill="1" applyBorder="1" applyAlignment="1">
      <alignment vertical="center" shrinkToFit="1"/>
    </xf>
    <xf numFmtId="0" fontId="20" fillId="2" borderId="0" xfId="1" applyFont="1" applyFill="1" applyBorder="1" applyAlignment="1">
      <alignment vertical="center" shrinkToFit="1"/>
    </xf>
    <xf numFmtId="0" fontId="2" fillId="2" borderId="0" xfId="1" applyFont="1" applyFill="1" applyBorder="1" applyAlignment="1">
      <alignment vertical="center"/>
    </xf>
    <xf numFmtId="0" fontId="2" fillId="2" borderId="85" xfId="1" applyFont="1" applyFill="1" applyBorder="1" applyAlignment="1">
      <alignment vertical="center"/>
    </xf>
    <xf numFmtId="0" fontId="2" fillId="2" borderId="84" xfId="1" applyFill="1" applyBorder="1" applyAlignment="1">
      <alignment vertical="center"/>
    </xf>
    <xf numFmtId="0" fontId="13" fillId="2" borderId="0" xfId="1" applyFont="1" applyFill="1" applyBorder="1"/>
    <xf numFmtId="0" fontId="2" fillId="2" borderId="0" xfId="1" applyFont="1" applyFill="1" applyBorder="1"/>
    <xf numFmtId="0" fontId="2" fillId="2" borderId="84" xfId="1" applyFill="1" applyBorder="1"/>
    <xf numFmtId="0" fontId="23" fillId="2" borderId="0" xfId="1" applyFont="1" applyFill="1" applyAlignment="1">
      <alignment shrinkToFit="1"/>
    </xf>
    <xf numFmtId="0" fontId="2" fillId="2" borderId="85" xfId="1" applyFill="1" applyBorder="1"/>
    <xf numFmtId="0" fontId="2" fillId="2" borderId="84" xfId="1" applyFont="1" applyFill="1" applyBorder="1" applyAlignment="1">
      <alignment vertical="center"/>
    </xf>
    <xf numFmtId="0" fontId="24" fillId="2" borderId="0" xfId="1" applyFont="1" applyFill="1" applyBorder="1" applyAlignment="1">
      <alignment vertical="center" shrinkToFit="1"/>
    </xf>
    <xf numFmtId="0" fontId="2" fillId="2" borderId="0" xfId="1" applyFill="1" applyBorder="1" applyAlignment="1">
      <alignment vertical="center"/>
    </xf>
    <xf numFmtId="0" fontId="2" fillId="2" borderId="85" xfId="1" applyFill="1" applyBorder="1" applyAlignment="1">
      <alignment vertical="center"/>
    </xf>
    <xf numFmtId="0" fontId="0" fillId="2" borderId="28" xfId="1" applyFont="1" applyFill="1" applyBorder="1" applyAlignment="1">
      <alignment vertical="center" shrinkToFit="1"/>
    </xf>
    <xf numFmtId="0" fontId="0" fillId="3" borderId="86" xfId="1" applyFont="1" applyFill="1" applyBorder="1" applyAlignment="1" applyProtection="1">
      <alignment horizontal="right" vertical="center"/>
      <protection locked="0"/>
    </xf>
    <xf numFmtId="0" fontId="2" fillId="2" borderId="0" xfId="1" applyFont="1" applyFill="1" applyBorder="1" applyAlignment="1">
      <alignment horizontal="left" vertical="center" shrinkToFit="1"/>
    </xf>
    <xf numFmtId="0" fontId="2" fillId="2" borderId="0" xfId="1" applyFont="1" applyFill="1" applyBorder="1" applyAlignment="1">
      <alignment horizontal="distributed" vertical="center"/>
    </xf>
    <xf numFmtId="0" fontId="2" fillId="2" borderId="0" xfId="1" applyFont="1" applyFill="1" applyBorder="1" applyAlignment="1">
      <alignment horizontal="left" vertical="center"/>
    </xf>
    <xf numFmtId="0" fontId="2" fillId="2" borderId="87" xfId="1" applyFont="1" applyFill="1" applyBorder="1" applyAlignment="1">
      <alignment horizontal="center" vertical="center" textRotation="255" shrinkToFit="1"/>
    </xf>
    <xf numFmtId="0" fontId="2" fillId="2" borderId="84" xfId="1" applyFont="1" applyFill="1" applyBorder="1"/>
    <xf numFmtId="0" fontId="2" fillId="2" borderId="85" xfId="1" applyFont="1" applyFill="1" applyBorder="1"/>
    <xf numFmtId="0" fontId="2" fillId="2" borderId="0" xfId="1" applyFont="1" applyFill="1" applyBorder="1" applyAlignment="1">
      <alignment vertical="center" shrinkToFit="1"/>
    </xf>
    <xf numFmtId="0" fontId="2" fillId="2" borderId="85" xfId="1" applyFont="1" applyFill="1" applyBorder="1" applyAlignment="1">
      <alignment vertical="center" shrinkToFit="1"/>
    </xf>
    <xf numFmtId="0" fontId="2" fillId="2" borderId="52" xfId="1" applyFill="1" applyBorder="1" applyAlignment="1">
      <alignment vertical="center"/>
    </xf>
    <xf numFmtId="0" fontId="11" fillId="2" borderId="0" xfId="1" applyFont="1" applyFill="1" applyBorder="1" applyAlignment="1">
      <alignment horizontal="right"/>
    </xf>
    <xf numFmtId="0" fontId="0" fillId="3" borderId="86" xfId="1" applyFont="1" applyFill="1" applyBorder="1" applyAlignment="1" applyProtection="1">
      <alignment horizontal="right" vertical="center" shrinkToFit="1"/>
      <protection locked="0"/>
    </xf>
    <xf numFmtId="38" fontId="2" fillId="3" borderId="86" xfId="2" applyFill="1" applyBorder="1" applyAlignment="1" applyProtection="1">
      <alignment vertical="center"/>
      <protection locked="0"/>
    </xf>
    <xf numFmtId="0" fontId="2" fillId="2" borderId="88" xfId="1" applyFill="1" applyBorder="1"/>
    <xf numFmtId="0" fontId="2" fillId="2" borderId="89" xfId="1" applyFill="1" applyBorder="1"/>
    <xf numFmtId="0" fontId="2" fillId="2" borderId="89" xfId="1" applyFill="1" applyBorder="1" applyAlignment="1">
      <alignment shrinkToFit="1"/>
    </xf>
    <xf numFmtId="0" fontId="2" fillId="2" borderId="90" xfId="1" applyFill="1" applyBorder="1"/>
    <xf numFmtId="0" fontId="2" fillId="3" borderId="86" xfId="1" applyFont="1" applyFill="1" applyBorder="1" applyAlignment="1" applyProtection="1">
      <alignment horizontal="right" vertical="center"/>
      <protection locked="0"/>
    </xf>
    <xf numFmtId="0" fontId="11" fillId="0" borderId="0" xfId="1" applyFont="1" applyFill="1" applyBorder="1" applyAlignment="1">
      <alignment vertical="center"/>
    </xf>
    <xf numFmtId="0" fontId="2" fillId="4" borderId="86" xfId="1" applyFont="1" applyFill="1" applyBorder="1" applyAlignment="1" applyProtection="1">
      <alignment horizontal="right" vertical="center"/>
      <protection locked="0"/>
    </xf>
    <xf numFmtId="0" fontId="11" fillId="0" borderId="0" xfId="1" applyFont="1" applyFill="1" applyBorder="1" applyAlignment="1">
      <alignment vertical="center" shrinkToFit="1"/>
    </xf>
    <xf numFmtId="0" fontId="2" fillId="2" borderId="0" xfId="1" applyFont="1" applyFill="1" applyBorder="1" applyAlignment="1">
      <alignment vertical="top"/>
    </xf>
    <xf numFmtId="0" fontId="0" fillId="2" borderId="89" xfId="1" applyFont="1" applyFill="1" applyBorder="1"/>
    <xf numFmtId="176" fontId="10" fillId="2" borderId="0" xfId="1" applyNumberFormat="1" applyFont="1" applyFill="1"/>
    <xf numFmtId="0" fontId="0" fillId="2" borderId="91" xfId="1" applyFont="1" applyFill="1" applyBorder="1" applyAlignment="1">
      <alignment horizontal="center" vertical="center"/>
    </xf>
    <xf numFmtId="0" fontId="0" fillId="5" borderId="92" xfId="1" applyFont="1" applyFill="1" applyBorder="1" applyAlignment="1">
      <alignment horizontal="center" vertical="center"/>
    </xf>
    <xf numFmtId="0" fontId="0" fillId="5" borderId="6" xfId="1" applyFont="1" applyFill="1" applyBorder="1" applyAlignment="1">
      <alignment horizontal="center" vertical="center"/>
    </xf>
    <xf numFmtId="0" fontId="0" fillId="5" borderId="7" xfId="1" applyFont="1" applyFill="1" applyBorder="1" applyAlignment="1">
      <alignment horizontal="center" vertical="center"/>
    </xf>
    <xf numFmtId="176" fontId="13" fillId="5" borderId="93" xfId="1" applyNumberFormat="1" applyFont="1" applyFill="1" applyBorder="1" applyAlignment="1"/>
    <xf numFmtId="0" fontId="0" fillId="2" borderId="94" xfId="1" applyFont="1" applyFill="1" applyBorder="1" applyAlignment="1">
      <alignment horizontal="center" vertical="center"/>
    </xf>
    <xf numFmtId="0" fontId="0" fillId="5" borderId="37" xfId="1" applyFont="1" applyFill="1" applyBorder="1" applyAlignment="1">
      <alignment horizontal="center" vertical="center"/>
    </xf>
    <xf numFmtId="0" fontId="0" fillId="5" borderId="30" xfId="1" applyFont="1" applyFill="1" applyBorder="1" applyAlignment="1">
      <alignment horizontal="center" vertical="center"/>
    </xf>
    <xf numFmtId="0" fontId="0" fillId="5" borderId="31" xfId="1" applyFont="1" applyFill="1" applyBorder="1" applyAlignment="1">
      <alignment horizontal="center" vertical="center"/>
    </xf>
    <xf numFmtId="176" fontId="13" fillId="5" borderId="95" xfId="1" applyNumberFormat="1" applyFont="1" applyFill="1" applyBorder="1" applyAlignment="1"/>
    <xf numFmtId="0" fontId="0" fillId="6" borderId="37" xfId="1" applyFont="1" applyFill="1" applyBorder="1" applyAlignment="1">
      <alignment horizontal="center" vertical="center"/>
    </xf>
    <xf numFmtId="0" fontId="0" fillId="6" borderId="30" xfId="1" applyFont="1" applyFill="1" applyBorder="1" applyAlignment="1">
      <alignment horizontal="center" vertical="center"/>
    </xf>
    <xf numFmtId="0" fontId="0" fillId="6" borderId="31" xfId="1" applyFont="1" applyFill="1" applyBorder="1" applyAlignment="1">
      <alignment horizontal="center" vertical="center"/>
    </xf>
    <xf numFmtId="176" fontId="13" fillId="6" borderId="95" xfId="1" applyNumberFormat="1" applyFont="1" applyFill="1" applyBorder="1" applyAlignment="1"/>
    <xf numFmtId="0" fontId="0" fillId="2" borderId="96" xfId="1" applyFont="1" applyFill="1" applyBorder="1" applyAlignment="1">
      <alignment horizontal="center" vertical="center"/>
    </xf>
    <xf numFmtId="0" fontId="13" fillId="7" borderId="46" xfId="1" applyFont="1" applyFill="1" applyBorder="1" applyAlignment="1">
      <alignment horizontal="center" vertical="center"/>
    </xf>
    <xf numFmtId="0" fontId="13" fillId="7" borderId="44" xfId="1" applyFont="1" applyFill="1" applyBorder="1" applyAlignment="1">
      <alignment horizontal="center" vertical="center"/>
    </xf>
    <xf numFmtId="0" fontId="13" fillId="7" borderId="45" xfId="1" applyFont="1" applyFill="1" applyBorder="1" applyAlignment="1">
      <alignment horizontal="center" vertical="center"/>
    </xf>
    <xf numFmtId="176" fontId="13" fillId="7" borderId="97" xfId="1" applyNumberFormat="1" applyFont="1" applyFill="1" applyBorder="1" applyAlignment="1"/>
    <xf numFmtId="0" fontId="0" fillId="8" borderId="47" xfId="1" applyFont="1" applyFill="1" applyBorder="1" applyAlignment="1">
      <alignment horizontal="center" vertical="center"/>
    </xf>
    <xf numFmtId="0" fontId="0" fillId="8" borderId="48" xfId="1" applyFont="1" applyFill="1" applyBorder="1" applyAlignment="1">
      <alignment horizontal="center" vertical="center"/>
    </xf>
    <xf numFmtId="0" fontId="0" fillId="8" borderId="50" xfId="1" applyFont="1" applyFill="1" applyBorder="1" applyAlignment="1">
      <alignment horizontal="center" vertical="center"/>
    </xf>
    <xf numFmtId="176" fontId="13" fillId="8" borderId="86" xfId="1" applyNumberFormat="1" applyFont="1" applyFill="1" applyBorder="1" applyAlignment="1"/>
    <xf numFmtId="0" fontId="23" fillId="2" borderId="0" xfId="1" applyFont="1" applyFill="1"/>
  </cellXfs>
  <cellStyles count="4">
    <cellStyle name="桁区切り 2" xfId="2"/>
    <cellStyle name="標準" xfId="0" builtinId="0"/>
    <cellStyle name="標準 2" xfId="3"/>
    <cellStyle name="標準_21計算書、メーター調定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X226"/>
  <sheetViews>
    <sheetView tabSelected="1" topLeftCell="M66" zoomScaleNormal="100" zoomScaleSheetLayoutView="95" workbookViewId="0">
      <selection activeCell="P93" sqref="P93"/>
    </sheetView>
  </sheetViews>
  <sheetFormatPr defaultRowHeight="13.5" x14ac:dyDescent="0.15"/>
  <cols>
    <col min="1" max="1" width="2.625" style="8" hidden="1" customWidth="1"/>
    <col min="2" max="2" width="4.5" style="8" hidden="1" customWidth="1"/>
    <col min="3" max="3" width="10.625" style="8" hidden="1" customWidth="1"/>
    <col min="4" max="4" width="10.5" style="8" hidden="1" customWidth="1"/>
    <col min="5" max="5" width="16.625" style="8" hidden="1" customWidth="1"/>
    <col min="6" max="6" width="4.625" style="8" hidden="1" customWidth="1"/>
    <col min="7" max="8" width="2.625" style="8" hidden="1" customWidth="1"/>
    <col min="9" max="9" width="5.125" style="8" hidden="1" customWidth="1"/>
    <col min="10" max="10" width="5.625" style="8" hidden="1" customWidth="1"/>
    <col min="11" max="11" width="10.625" style="8" hidden="1" customWidth="1"/>
    <col min="12" max="12" width="6.625" style="8" hidden="1" customWidth="1"/>
    <col min="13" max="13" width="4.625" style="8" customWidth="1"/>
    <col min="14" max="14" width="2.625" style="8" customWidth="1"/>
    <col min="15" max="15" width="4.375" style="8" customWidth="1"/>
    <col min="16" max="16" width="12.625" style="8" customWidth="1"/>
    <col min="17" max="17" width="5" style="10" customWidth="1"/>
    <col min="18" max="18" width="11.5" style="8" customWidth="1"/>
    <col min="19" max="19" width="10.625" style="8" customWidth="1"/>
    <col min="20" max="22" width="7.5" style="8" customWidth="1"/>
    <col min="23" max="23" width="10.5" style="8" customWidth="1"/>
    <col min="24" max="24" width="8.625" style="270" customWidth="1"/>
    <col min="25" max="128" width="8.625" style="8" customWidth="1"/>
    <col min="129" max="256" width="9" style="8"/>
    <col min="257" max="257" width="2.625" style="8" customWidth="1"/>
    <col min="258" max="258" width="4.5" style="8" customWidth="1"/>
    <col min="259" max="259" width="10.625" style="8" customWidth="1"/>
    <col min="260" max="260" width="10.5" style="8" customWidth="1"/>
    <col min="261" max="261" width="16.625" style="8" customWidth="1"/>
    <col min="262" max="262" width="4.625" style="8" customWidth="1"/>
    <col min="263" max="264" width="2.625" style="8" customWidth="1"/>
    <col min="265" max="265" width="5.125" style="8" customWidth="1"/>
    <col min="266" max="266" width="5.625" style="8" customWidth="1"/>
    <col min="267" max="267" width="10.625" style="8" customWidth="1"/>
    <col min="268" max="268" width="6.625" style="8" customWidth="1"/>
    <col min="269" max="269" width="4.625" style="8" customWidth="1"/>
    <col min="270" max="271" width="2.625" style="8" customWidth="1"/>
    <col min="272" max="272" width="12.625" style="8" customWidth="1"/>
    <col min="273" max="273" width="3.625" style="8" customWidth="1"/>
    <col min="274" max="274" width="11.5" style="8" customWidth="1"/>
    <col min="275" max="278" width="10.625" style="8" customWidth="1"/>
    <col min="279" max="279" width="7.625" style="8" customWidth="1"/>
    <col min="280" max="384" width="8.625" style="8" customWidth="1"/>
    <col min="385" max="512" width="9" style="8"/>
    <col min="513" max="513" width="2.625" style="8" customWidth="1"/>
    <col min="514" max="514" width="4.5" style="8" customWidth="1"/>
    <col min="515" max="515" width="10.625" style="8" customWidth="1"/>
    <col min="516" max="516" width="10.5" style="8" customWidth="1"/>
    <col min="517" max="517" width="16.625" style="8" customWidth="1"/>
    <col min="518" max="518" width="4.625" style="8" customWidth="1"/>
    <col min="519" max="520" width="2.625" style="8" customWidth="1"/>
    <col min="521" max="521" width="5.125" style="8" customWidth="1"/>
    <col min="522" max="522" width="5.625" style="8" customWidth="1"/>
    <col min="523" max="523" width="10.625" style="8" customWidth="1"/>
    <col min="524" max="524" width="6.625" style="8" customWidth="1"/>
    <col min="525" max="525" width="4.625" style="8" customWidth="1"/>
    <col min="526" max="527" width="2.625" style="8" customWidth="1"/>
    <col min="528" max="528" width="12.625" style="8" customWidth="1"/>
    <col min="529" max="529" width="3.625" style="8" customWidth="1"/>
    <col min="530" max="530" width="11.5" style="8" customWidth="1"/>
    <col min="531" max="534" width="10.625" style="8" customWidth="1"/>
    <col min="535" max="535" width="7.625" style="8" customWidth="1"/>
    <col min="536" max="640" width="8.625" style="8" customWidth="1"/>
    <col min="641" max="768" width="9" style="8"/>
    <col min="769" max="769" width="2.625" style="8" customWidth="1"/>
    <col min="770" max="770" width="4.5" style="8" customWidth="1"/>
    <col min="771" max="771" width="10.625" style="8" customWidth="1"/>
    <col min="772" max="772" width="10.5" style="8" customWidth="1"/>
    <col min="773" max="773" width="16.625" style="8" customWidth="1"/>
    <col min="774" max="774" width="4.625" style="8" customWidth="1"/>
    <col min="775" max="776" width="2.625" style="8" customWidth="1"/>
    <col min="777" max="777" width="5.125" style="8" customWidth="1"/>
    <col min="778" max="778" width="5.625" style="8" customWidth="1"/>
    <col min="779" max="779" width="10.625" style="8" customWidth="1"/>
    <col min="780" max="780" width="6.625" style="8" customWidth="1"/>
    <col min="781" max="781" width="4.625" style="8" customWidth="1"/>
    <col min="782" max="783" width="2.625" style="8" customWidth="1"/>
    <col min="784" max="784" width="12.625" style="8" customWidth="1"/>
    <col min="785" max="785" width="3.625" style="8" customWidth="1"/>
    <col min="786" max="786" width="11.5" style="8" customWidth="1"/>
    <col min="787" max="790" width="10.625" style="8" customWidth="1"/>
    <col min="791" max="791" width="7.625" style="8" customWidth="1"/>
    <col min="792" max="896" width="8.625" style="8" customWidth="1"/>
    <col min="897" max="1024" width="9" style="8"/>
    <col min="1025" max="1025" width="2.625" style="8" customWidth="1"/>
    <col min="1026" max="1026" width="4.5" style="8" customWidth="1"/>
    <col min="1027" max="1027" width="10.625" style="8" customWidth="1"/>
    <col min="1028" max="1028" width="10.5" style="8" customWidth="1"/>
    <col min="1029" max="1029" width="16.625" style="8" customWidth="1"/>
    <col min="1030" max="1030" width="4.625" style="8" customWidth="1"/>
    <col min="1031" max="1032" width="2.625" style="8" customWidth="1"/>
    <col min="1033" max="1033" width="5.125" style="8" customWidth="1"/>
    <col min="1034" max="1034" width="5.625" style="8" customWidth="1"/>
    <col min="1035" max="1035" width="10.625" style="8" customWidth="1"/>
    <col min="1036" max="1036" width="6.625" style="8" customWidth="1"/>
    <col min="1037" max="1037" width="4.625" style="8" customWidth="1"/>
    <col min="1038" max="1039" width="2.625" style="8" customWidth="1"/>
    <col min="1040" max="1040" width="12.625" style="8" customWidth="1"/>
    <col min="1041" max="1041" width="3.625" style="8" customWidth="1"/>
    <col min="1042" max="1042" width="11.5" style="8" customWidth="1"/>
    <col min="1043" max="1046" width="10.625" style="8" customWidth="1"/>
    <col min="1047" max="1047" width="7.625" style="8" customWidth="1"/>
    <col min="1048" max="1152" width="8.625" style="8" customWidth="1"/>
    <col min="1153" max="1280" width="9" style="8"/>
    <col min="1281" max="1281" width="2.625" style="8" customWidth="1"/>
    <col min="1282" max="1282" width="4.5" style="8" customWidth="1"/>
    <col min="1283" max="1283" width="10.625" style="8" customWidth="1"/>
    <col min="1284" max="1284" width="10.5" style="8" customWidth="1"/>
    <col min="1285" max="1285" width="16.625" style="8" customWidth="1"/>
    <col min="1286" max="1286" width="4.625" style="8" customWidth="1"/>
    <col min="1287" max="1288" width="2.625" style="8" customWidth="1"/>
    <col min="1289" max="1289" width="5.125" style="8" customWidth="1"/>
    <col min="1290" max="1290" width="5.625" style="8" customWidth="1"/>
    <col min="1291" max="1291" width="10.625" style="8" customWidth="1"/>
    <col min="1292" max="1292" width="6.625" style="8" customWidth="1"/>
    <col min="1293" max="1293" width="4.625" style="8" customWidth="1"/>
    <col min="1294" max="1295" width="2.625" style="8" customWidth="1"/>
    <col min="1296" max="1296" width="12.625" style="8" customWidth="1"/>
    <col min="1297" max="1297" width="3.625" style="8" customWidth="1"/>
    <col min="1298" max="1298" width="11.5" style="8" customWidth="1"/>
    <col min="1299" max="1302" width="10.625" style="8" customWidth="1"/>
    <col min="1303" max="1303" width="7.625" style="8" customWidth="1"/>
    <col min="1304" max="1408" width="8.625" style="8" customWidth="1"/>
    <col min="1409" max="1536" width="9" style="8"/>
    <col min="1537" max="1537" width="2.625" style="8" customWidth="1"/>
    <col min="1538" max="1538" width="4.5" style="8" customWidth="1"/>
    <col min="1539" max="1539" width="10.625" style="8" customWidth="1"/>
    <col min="1540" max="1540" width="10.5" style="8" customWidth="1"/>
    <col min="1541" max="1541" width="16.625" style="8" customWidth="1"/>
    <col min="1542" max="1542" width="4.625" style="8" customWidth="1"/>
    <col min="1543" max="1544" width="2.625" style="8" customWidth="1"/>
    <col min="1545" max="1545" width="5.125" style="8" customWidth="1"/>
    <col min="1546" max="1546" width="5.625" style="8" customWidth="1"/>
    <col min="1547" max="1547" width="10.625" style="8" customWidth="1"/>
    <col min="1548" max="1548" width="6.625" style="8" customWidth="1"/>
    <col min="1549" max="1549" width="4.625" style="8" customWidth="1"/>
    <col min="1550" max="1551" width="2.625" style="8" customWidth="1"/>
    <col min="1552" max="1552" width="12.625" style="8" customWidth="1"/>
    <col min="1553" max="1553" width="3.625" style="8" customWidth="1"/>
    <col min="1554" max="1554" width="11.5" style="8" customWidth="1"/>
    <col min="1555" max="1558" width="10.625" style="8" customWidth="1"/>
    <col min="1559" max="1559" width="7.625" style="8" customWidth="1"/>
    <col min="1560" max="1664" width="8.625" style="8" customWidth="1"/>
    <col min="1665" max="1792" width="9" style="8"/>
    <col min="1793" max="1793" width="2.625" style="8" customWidth="1"/>
    <col min="1794" max="1794" width="4.5" style="8" customWidth="1"/>
    <col min="1795" max="1795" width="10.625" style="8" customWidth="1"/>
    <col min="1796" max="1796" width="10.5" style="8" customWidth="1"/>
    <col min="1797" max="1797" width="16.625" style="8" customWidth="1"/>
    <col min="1798" max="1798" width="4.625" style="8" customWidth="1"/>
    <col min="1799" max="1800" width="2.625" style="8" customWidth="1"/>
    <col min="1801" max="1801" width="5.125" style="8" customWidth="1"/>
    <col min="1802" max="1802" width="5.625" style="8" customWidth="1"/>
    <col min="1803" max="1803" width="10.625" style="8" customWidth="1"/>
    <col min="1804" max="1804" width="6.625" style="8" customWidth="1"/>
    <col min="1805" max="1805" width="4.625" style="8" customWidth="1"/>
    <col min="1806" max="1807" width="2.625" style="8" customWidth="1"/>
    <col min="1808" max="1808" width="12.625" style="8" customWidth="1"/>
    <col min="1809" max="1809" width="3.625" style="8" customWidth="1"/>
    <col min="1810" max="1810" width="11.5" style="8" customWidth="1"/>
    <col min="1811" max="1814" width="10.625" style="8" customWidth="1"/>
    <col min="1815" max="1815" width="7.625" style="8" customWidth="1"/>
    <col min="1816" max="1920" width="8.625" style="8" customWidth="1"/>
    <col min="1921" max="2048" width="9" style="8"/>
    <col min="2049" max="2049" width="2.625" style="8" customWidth="1"/>
    <col min="2050" max="2050" width="4.5" style="8" customWidth="1"/>
    <col min="2051" max="2051" width="10.625" style="8" customWidth="1"/>
    <col min="2052" max="2052" width="10.5" style="8" customWidth="1"/>
    <col min="2053" max="2053" width="16.625" style="8" customWidth="1"/>
    <col min="2054" max="2054" width="4.625" style="8" customWidth="1"/>
    <col min="2055" max="2056" width="2.625" style="8" customWidth="1"/>
    <col min="2057" max="2057" width="5.125" style="8" customWidth="1"/>
    <col min="2058" max="2058" width="5.625" style="8" customWidth="1"/>
    <col min="2059" max="2059" width="10.625" style="8" customWidth="1"/>
    <col min="2060" max="2060" width="6.625" style="8" customWidth="1"/>
    <col min="2061" max="2061" width="4.625" style="8" customWidth="1"/>
    <col min="2062" max="2063" width="2.625" style="8" customWidth="1"/>
    <col min="2064" max="2064" width="12.625" style="8" customWidth="1"/>
    <col min="2065" max="2065" width="3.625" style="8" customWidth="1"/>
    <col min="2066" max="2066" width="11.5" style="8" customWidth="1"/>
    <col min="2067" max="2070" width="10.625" style="8" customWidth="1"/>
    <col min="2071" max="2071" width="7.625" style="8" customWidth="1"/>
    <col min="2072" max="2176" width="8.625" style="8" customWidth="1"/>
    <col min="2177" max="2304" width="9" style="8"/>
    <col min="2305" max="2305" width="2.625" style="8" customWidth="1"/>
    <col min="2306" max="2306" width="4.5" style="8" customWidth="1"/>
    <col min="2307" max="2307" width="10.625" style="8" customWidth="1"/>
    <col min="2308" max="2308" width="10.5" style="8" customWidth="1"/>
    <col min="2309" max="2309" width="16.625" style="8" customWidth="1"/>
    <col min="2310" max="2310" width="4.625" style="8" customWidth="1"/>
    <col min="2311" max="2312" width="2.625" style="8" customWidth="1"/>
    <col min="2313" max="2313" width="5.125" style="8" customWidth="1"/>
    <col min="2314" max="2314" width="5.625" style="8" customWidth="1"/>
    <col min="2315" max="2315" width="10.625" style="8" customWidth="1"/>
    <col min="2316" max="2316" width="6.625" style="8" customWidth="1"/>
    <col min="2317" max="2317" width="4.625" style="8" customWidth="1"/>
    <col min="2318" max="2319" width="2.625" style="8" customWidth="1"/>
    <col min="2320" max="2320" width="12.625" style="8" customWidth="1"/>
    <col min="2321" max="2321" width="3.625" style="8" customWidth="1"/>
    <col min="2322" max="2322" width="11.5" style="8" customWidth="1"/>
    <col min="2323" max="2326" width="10.625" style="8" customWidth="1"/>
    <col min="2327" max="2327" width="7.625" style="8" customWidth="1"/>
    <col min="2328" max="2432" width="8.625" style="8" customWidth="1"/>
    <col min="2433" max="2560" width="9" style="8"/>
    <col min="2561" max="2561" width="2.625" style="8" customWidth="1"/>
    <col min="2562" max="2562" width="4.5" style="8" customWidth="1"/>
    <col min="2563" max="2563" width="10.625" style="8" customWidth="1"/>
    <col min="2564" max="2564" width="10.5" style="8" customWidth="1"/>
    <col min="2565" max="2565" width="16.625" style="8" customWidth="1"/>
    <col min="2566" max="2566" width="4.625" style="8" customWidth="1"/>
    <col min="2567" max="2568" width="2.625" style="8" customWidth="1"/>
    <col min="2569" max="2569" width="5.125" style="8" customWidth="1"/>
    <col min="2570" max="2570" width="5.625" style="8" customWidth="1"/>
    <col min="2571" max="2571" width="10.625" style="8" customWidth="1"/>
    <col min="2572" max="2572" width="6.625" style="8" customWidth="1"/>
    <col min="2573" max="2573" width="4.625" style="8" customWidth="1"/>
    <col min="2574" max="2575" width="2.625" style="8" customWidth="1"/>
    <col min="2576" max="2576" width="12.625" style="8" customWidth="1"/>
    <col min="2577" max="2577" width="3.625" style="8" customWidth="1"/>
    <col min="2578" max="2578" width="11.5" style="8" customWidth="1"/>
    <col min="2579" max="2582" width="10.625" style="8" customWidth="1"/>
    <col min="2583" max="2583" width="7.625" style="8" customWidth="1"/>
    <col min="2584" max="2688" width="8.625" style="8" customWidth="1"/>
    <col min="2689" max="2816" width="9" style="8"/>
    <col min="2817" max="2817" width="2.625" style="8" customWidth="1"/>
    <col min="2818" max="2818" width="4.5" style="8" customWidth="1"/>
    <col min="2819" max="2819" width="10.625" style="8" customWidth="1"/>
    <col min="2820" max="2820" width="10.5" style="8" customWidth="1"/>
    <col min="2821" max="2821" width="16.625" style="8" customWidth="1"/>
    <col min="2822" max="2822" width="4.625" style="8" customWidth="1"/>
    <col min="2823" max="2824" width="2.625" style="8" customWidth="1"/>
    <col min="2825" max="2825" width="5.125" style="8" customWidth="1"/>
    <col min="2826" max="2826" width="5.625" style="8" customWidth="1"/>
    <col min="2827" max="2827" width="10.625" style="8" customWidth="1"/>
    <col min="2828" max="2828" width="6.625" style="8" customWidth="1"/>
    <col min="2829" max="2829" width="4.625" style="8" customWidth="1"/>
    <col min="2830" max="2831" width="2.625" style="8" customWidth="1"/>
    <col min="2832" max="2832" width="12.625" style="8" customWidth="1"/>
    <col min="2833" max="2833" width="3.625" style="8" customWidth="1"/>
    <col min="2834" max="2834" width="11.5" style="8" customWidth="1"/>
    <col min="2835" max="2838" width="10.625" style="8" customWidth="1"/>
    <col min="2839" max="2839" width="7.625" style="8" customWidth="1"/>
    <col min="2840" max="2944" width="8.625" style="8" customWidth="1"/>
    <col min="2945" max="3072" width="9" style="8"/>
    <col min="3073" max="3073" width="2.625" style="8" customWidth="1"/>
    <col min="3074" max="3074" width="4.5" style="8" customWidth="1"/>
    <col min="3075" max="3075" width="10.625" style="8" customWidth="1"/>
    <col min="3076" max="3076" width="10.5" style="8" customWidth="1"/>
    <col min="3077" max="3077" width="16.625" style="8" customWidth="1"/>
    <col min="3078" max="3078" width="4.625" style="8" customWidth="1"/>
    <col min="3079" max="3080" width="2.625" style="8" customWidth="1"/>
    <col min="3081" max="3081" width="5.125" style="8" customWidth="1"/>
    <col min="3082" max="3082" width="5.625" style="8" customWidth="1"/>
    <col min="3083" max="3083" width="10.625" style="8" customWidth="1"/>
    <col min="3084" max="3084" width="6.625" style="8" customWidth="1"/>
    <col min="3085" max="3085" width="4.625" style="8" customWidth="1"/>
    <col min="3086" max="3087" width="2.625" style="8" customWidth="1"/>
    <col min="3088" max="3088" width="12.625" style="8" customWidth="1"/>
    <col min="3089" max="3089" width="3.625" style="8" customWidth="1"/>
    <col min="3090" max="3090" width="11.5" style="8" customWidth="1"/>
    <col min="3091" max="3094" width="10.625" style="8" customWidth="1"/>
    <col min="3095" max="3095" width="7.625" style="8" customWidth="1"/>
    <col min="3096" max="3200" width="8.625" style="8" customWidth="1"/>
    <col min="3201" max="3328" width="9" style="8"/>
    <col min="3329" max="3329" width="2.625" style="8" customWidth="1"/>
    <col min="3330" max="3330" width="4.5" style="8" customWidth="1"/>
    <col min="3331" max="3331" width="10.625" style="8" customWidth="1"/>
    <col min="3332" max="3332" width="10.5" style="8" customWidth="1"/>
    <col min="3333" max="3333" width="16.625" style="8" customWidth="1"/>
    <col min="3334" max="3334" width="4.625" style="8" customWidth="1"/>
    <col min="3335" max="3336" width="2.625" style="8" customWidth="1"/>
    <col min="3337" max="3337" width="5.125" style="8" customWidth="1"/>
    <col min="3338" max="3338" width="5.625" style="8" customWidth="1"/>
    <col min="3339" max="3339" width="10.625" style="8" customWidth="1"/>
    <col min="3340" max="3340" width="6.625" style="8" customWidth="1"/>
    <col min="3341" max="3341" width="4.625" style="8" customWidth="1"/>
    <col min="3342" max="3343" width="2.625" style="8" customWidth="1"/>
    <col min="3344" max="3344" width="12.625" style="8" customWidth="1"/>
    <col min="3345" max="3345" width="3.625" style="8" customWidth="1"/>
    <col min="3346" max="3346" width="11.5" style="8" customWidth="1"/>
    <col min="3347" max="3350" width="10.625" style="8" customWidth="1"/>
    <col min="3351" max="3351" width="7.625" style="8" customWidth="1"/>
    <col min="3352" max="3456" width="8.625" style="8" customWidth="1"/>
    <col min="3457" max="3584" width="9" style="8"/>
    <col min="3585" max="3585" width="2.625" style="8" customWidth="1"/>
    <col min="3586" max="3586" width="4.5" style="8" customWidth="1"/>
    <col min="3587" max="3587" width="10.625" style="8" customWidth="1"/>
    <col min="3588" max="3588" width="10.5" style="8" customWidth="1"/>
    <col min="3589" max="3589" width="16.625" style="8" customWidth="1"/>
    <col min="3590" max="3590" width="4.625" style="8" customWidth="1"/>
    <col min="3591" max="3592" width="2.625" style="8" customWidth="1"/>
    <col min="3593" max="3593" width="5.125" style="8" customWidth="1"/>
    <col min="3594" max="3594" width="5.625" style="8" customWidth="1"/>
    <col min="3595" max="3595" width="10.625" style="8" customWidth="1"/>
    <col min="3596" max="3596" width="6.625" style="8" customWidth="1"/>
    <col min="3597" max="3597" width="4.625" style="8" customWidth="1"/>
    <col min="3598" max="3599" width="2.625" style="8" customWidth="1"/>
    <col min="3600" max="3600" width="12.625" style="8" customWidth="1"/>
    <col min="3601" max="3601" width="3.625" style="8" customWidth="1"/>
    <col min="3602" max="3602" width="11.5" style="8" customWidth="1"/>
    <col min="3603" max="3606" width="10.625" style="8" customWidth="1"/>
    <col min="3607" max="3607" width="7.625" style="8" customWidth="1"/>
    <col min="3608" max="3712" width="8.625" style="8" customWidth="1"/>
    <col min="3713" max="3840" width="9" style="8"/>
    <col min="3841" max="3841" width="2.625" style="8" customWidth="1"/>
    <col min="3842" max="3842" width="4.5" style="8" customWidth="1"/>
    <col min="3843" max="3843" width="10.625" style="8" customWidth="1"/>
    <col min="3844" max="3844" width="10.5" style="8" customWidth="1"/>
    <col min="3845" max="3845" width="16.625" style="8" customWidth="1"/>
    <col min="3846" max="3846" width="4.625" style="8" customWidth="1"/>
    <col min="3847" max="3848" width="2.625" style="8" customWidth="1"/>
    <col min="3849" max="3849" width="5.125" style="8" customWidth="1"/>
    <col min="3850" max="3850" width="5.625" style="8" customWidth="1"/>
    <col min="3851" max="3851" width="10.625" style="8" customWidth="1"/>
    <col min="3852" max="3852" width="6.625" style="8" customWidth="1"/>
    <col min="3853" max="3853" width="4.625" style="8" customWidth="1"/>
    <col min="3854" max="3855" width="2.625" style="8" customWidth="1"/>
    <col min="3856" max="3856" width="12.625" style="8" customWidth="1"/>
    <col min="3857" max="3857" width="3.625" style="8" customWidth="1"/>
    <col min="3858" max="3858" width="11.5" style="8" customWidth="1"/>
    <col min="3859" max="3862" width="10.625" style="8" customWidth="1"/>
    <col min="3863" max="3863" width="7.625" style="8" customWidth="1"/>
    <col min="3864" max="3968" width="8.625" style="8" customWidth="1"/>
    <col min="3969" max="4096" width="9" style="8"/>
    <col min="4097" max="4097" width="2.625" style="8" customWidth="1"/>
    <col min="4098" max="4098" width="4.5" style="8" customWidth="1"/>
    <col min="4099" max="4099" width="10.625" style="8" customWidth="1"/>
    <col min="4100" max="4100" width="10.5" style="8" customWidth="1"/>
    <col min="4101" max="4101" width="16.625" style="8" customWidth="1"/>
    <col min="4102" max="4102" width="4.625" style="8" customWidth="1"/>
    <col min="4103" max="4104" width="2.625" style="8" customWidth="1"/>
    <col min="4105" max="4105" width="5.125" style="8" customWidth="1"/>
    <col min="4106" max="4106" width="5.625" style="8" customWidth="1"/>
    <col min="4107" max="4107" width="10.625" style="8" customWidth="1"/>
    <col min="4108" max="4108" width="6.625" style="8" customWidth="1"/>
    <col min="4109" max="4109" width="4.625" style="8" customWidth="1"/>
    <col min="4110" max="4111" width="2.625" style="8" customWidth="1"/>
    <col min="4112" max="4112" width="12.625" style="8" customWidth="1"/>
    <col min="4113" max="4113" width="3.625" style="8" customWidth="1"/>
    <col min="4114" max="4114" width="11.5" style="8" customWidth="1"/>
    <col min="4115" max="4118" width="10.625" style="8" customWidth="1"/>
    <col min="4119" max="4119" width="7.625" style="8" customWidth="1"/>
    <col min="4120" max="4224" width="8.625" style="8" customWidth="1"/>
    <col min="4225" max="4352" width="9" style="8"/>
    <col min="4353" max="4353" width="2.625" style="8" customWidth="1"/>
    <col min="4354" max="4354" width="4.5" style="8" customWidth="1"/>
    <col min="4355" max="4355" width="10.625" style="8" customWidth="1"/>
    <col min="4356" max="4356" width="10.5" style="8" customWidth="1"/>
    <col min="4357" max="4357" width="16.625" style="8" customWidth="1"/>
    <col min="4358" max="4358" width="4.625" style="8" customWidth="1"/>
    <col min="4359" max="4360" width="2.625" style="8" customWidth="1"/>
    <col min="4361" max="4361" width="5.125" style="8" customWidth="1"/>
    <col min="4362" max="4362" width="5.625" style="8" customWidth="1"/>
    <col min="4363" max="4363" width="10.625" style="8" customWidth="1"/>
    <col min="4364" max="4364" width="6.625" style="8" customWidth="1"/>
    <col min="4365" max="4365" width="4.625" style="8" customWidth="1"/>
    <col min="4366" max="4367" width="2.625" style="8" customWidth="1"/>
    <col min="4368" max="4368" width="12.625" style="8" customWidth="1"/>
    <col min="4369" max="4369" width="3.625" style="8" customWidth="1"/>
    <col min="4370" max="4370" width="11.5" style="8" customWidth="1"/>
    <col min="4371" max="4374" width="10.625" style="8" customWidth="1"/>
    <col min="4375" max="4375" width="7.625" style="8" customWidth="1"/>
    <col min="4376" max="4480" width="8.625" style="8" customWidth="1"/>
    <col min="4481" max="4608" width="9" style="8"/>
    <col min="4609" max="4609" width="2.625" style="8" customWidth="1"/>
    <col min="4610" max="4610" width="4.5" style="8" customWidth="1"/>
    <col min="4611" max="4611" width="10.625" style="8" customWidth="1"/>
    <col min="4612" max="4612" width="10.5" style="8" customWidth="1"/>
    <col min="4613" max="4613" width="16.625" style="8" customWidth="1"/>
    <col min="4614" max="4614" width="4.625" style="8" customWidth="1"/>
    <col min="4615" max="4616" width="2.625" style="8" customWidth="1"/>
    <col min="4617" max="4617" width="5.125" style="8" customWidth="1"/>
    <col min="4618" max="4618" width="5.625" style="8" customWidth="1"/>
    <col min="4619" max="4619" width="10.625" style="8" customWidth="1"/>
    <col min="4620" max="4620" width="6.625" style="8" customWidth="1"/>
    <col min="4621" max="4621" width="4.625" style="8" customWidth="1"/>
    <col min="4622" max="4623" width="2.625" style="8" customWidth="1"/>
    <col min="4624" max="4624" width="12.625" style="8" customWidth="1"/>
    <col min="4625" max="4625" width="3.625" style="8" customWidth="1"/>
    <col min="4626" max="4626" width="11.5" style="8" customWidth="1"/>
    <col min="4627" max="4630" width="10.625" style="8" customWidth="1"/>
    <col min="4631" max="4631" width="7.625" style="8" customWidth="1"/>
    <col min="4632" max="4736" width="8.625" style="8" customWidth="1"/>
    <col min="4737" max="4864" width="9" style="8"/>
    <col min="4865" max="4865" width="2.625" style="8" customWidth="1"/>
    <col min="4866" max="4866" width="4.5" style="8" customWidth="1"/>
    <col min="4867" max="4867" width="10.625" style="8" customWidth="1"/>
    <col min="4868" max="4868" width="10.5" style="8" customWidth="1"/>
    <col min="4869" max="4869" width="16.625" style="8" customWidth="1"/>
    <col min="4870" max="4870" width="4.625" style="8" customWidth="1"/>
    <col min="4871" max="4872" width="2.625" style="8" customWidth="1"/>
    <col min="4873" max="4873" width="5.125" style="8" customWidth="1"/>
    <col min="4874" max="4874" width="5.625" style="8" customWidth="1"/>
    <col min="4875" max="4875" width="10.625" style="8" customWidth="1"/>
    <col min="4876" max="4876" width="6.625" style="8" customWidth="1"/>
    <col min="4877" max="4877" width="4.625" style="8" customWidth="1"/>
    <col min="4878" max="4879" width="2.625" style="8" customWidth="1"/>
    <col min="4880" max="4880" width="12.625" style="8" customWidth="1"/>
    <col min="4881" max="4881" width="3.625" style="8" customWidth="1"/>
    <col min="4882" max="4882" width="11.5" style="8" customWidth="1"/>
    <col min="4883" max="4886" width="10.625" style="8" customWidth="1"/>
    <col min="4887" max="4887" width="7.625" style="8" customWidth="1"/>
    <col min="4888" max="4992" width="8.625" style="8" customWidth="1"/>
    <col min="4993" max="5120" width="9" style="8"/>
    <col min="5121" max="5121" width="2.625" style="8" customWidth="1"/>
    <col min="5122" max="5122" width="4.5" style="8" customWidth="1"/>
    <col min="5123" max="5123" width="10.625" style="8" customWidth="1"/>
    <col min="5124" max="5124" width="10.5" style="8" customWidth="1"/>
    <col min="5125" max="5125" width="16.625" style="8" customWidth="1"/>
    <col min="5126" max="5126" width="4.625" style="8" customWidth="1"/>
    <col min="5127" max="5128" width="2.625" style="8" customWidth="1"/>
    <col min="5129" max="5129" width="5.125" style="8" customWidth="1"/>
    <col min="5130" max="5130" width="5.625" style="8" customWidth="1"/>
    <col min="5131" max="5131" width="10.625" style="8" customWidth="1"/>
    <col min="5132" max="5132" width="6.625" style="8" customWidth="1"/>
    <col min="5133" max="5133" width="4.625" style="8" customWidth="1"/>
    <col min="5134" max="5135" width="2.625" style="8" customWidth="1"/>
    <col min="5136" max="5136" width="12.625" style="8" customWidth="1"/>
    <col min="5137" max="5137" width="3.625" style="8" customWidth="1"/>
    <col min="5138" max="5138" width="11.5" style="8" customWidth="1"/>
    <col min="5139" max="5142" width="10.625" style="8" customWidth="1"/>
    <col min="5143" max="5143" width="7.625" style="8" customWidth="1"/>
    <col min="5144" max="5248" width="8.625" style="8" customWidth="1"/>
    <col min="5249" max="5376" width="9" style="8"/>
    <col min="5377" max="5377" width="2.625" style="8" customWidth="1"/>
    <col min="5378" max="5378" width="4.5" style="8" customWidth="1"/>
    <col min="5379" max="5379" width="10.625" style="8" customWidth="1"/>
    <col min="5380" max="5380" width="10.5" style="8" customWidth="1"/>
    <col min="5381" max="5381" width="16.625" style="8" customWidth="1"/>
    <col min="5382" max="5382" width="4.625" style="8" customWidth="1"/>
    <col min="5383" max="5384" width="2.625" style="8" customWidth="1"/>
    <col min="5385" max="5385" width="5.125" style="8" customWidth="1"/>
    <col min="5386" max="5386" width="5.625" style="8" customWidth="1"/>
    <col min="5387" max="5387" width="10.625" style="8" customWidth="1"/>
    <col min="5388" max="5388" width="6.625" style="8" customWidth="1"/>
    <col min="5389" max="5389" width="4.625" style="8" customWidth="1"/>
    <col min="5390" max="5391" width="2.625" style="8" customWidth="1"/>
    <col min="5392" max="5392" width="12.625" style="8" customWidth="1"/>
    <col min="5393" max="5393" width="3.625" style="8" customWidth="1"/>
    <col min="5394" max="5394" width="11.5" style="8" customWidth="1"/>
    <col min="5395" max="5398" width="10.625" style="8" customWidth="1"/>
    <col min="5399" max="5399" width="7.625" style="8" customWidth="1"/>
    <col min="5400" max="5504" width="8.625" style="8" customWidth="1"/>
    <col min="5505" max="5632" width="9" style="8"/>
    <col min="5633" max="5633" width="2.625" style="8" customWidth="1"/>
    <col min="5634" max="5634" width="4.5" style="8" customWidth="1"/>
    <col min="5635" max="5635" width="10.625" style="8" customWidth="1"/>
    <col min="5636" max="5636" width="10.5" style="8" customWidth="1"/>
    <col min="5637" max="5637" width="16.625" style="8" customWidth="1"/>
    <col min="5638" max="5638" width="4.625" style="8" customWidth="1"/>
    <col min="5639" max="5640" width="2.625" style="8" customWidth="1"/>
    <col min="5641" max="5641" width="5.125" style="8" customWidth="1"/>
    <col min="5642" max="5642" width="5.625" style="8" customWidth="1"/>
    <col min="5643" max="5643" width="10.625" style="8" customWidth="1"/>
    <col min="5644" max="5644" width="6.625" style="8" customWidth="1"/>
    <col min="5645" max="5645" width="4.625" style="8" customWidth="1"/>
    <col min="5646" max="5647" width="2.625" style="8" customWidth="1"/>
    <col min="5648" max="5648" width="12.625" style="8" customWidth="1"/>
    <col min="5649" max="5649" width="3.625" style="8" customWidth="1"/>
    <col min="5650" max="5650" width="11.5" style="8" customWidth="1"/>
    <col min="5651" max="5654" width="10.625" style="8" customWidth="1"/>
    <col min="5655" max="5655" width="7.625" style="8" customWidth="1"/>
    <col min="5656" max="5760" width="8.625" style="8" customWidth="1"/>
    <col min="5761" max="5888" width="9" style="8"/>
    <col min="5889" max="5889" width="2.625" style="8" customWidth="1"/>
    <col min="5890" max="5890" width="4.5" style="8" customWidth="1"/>
    <col min="5891" max="5891" width="10.625" style="8" customWidth="1"/>
    <col min="5892" max="5892" width="10.5" style="8" customWidth="1"/>
    <col min="5893" max="5893" width="16.625" style="8" customWidth="1"/>
    <col min="5894" max="5894" width="4.625" style="8" customWidth="1"/>
    <col min="5895" max="5896" width="2.625" style="8" customWidth="1"/>
    <col min="5897" max="5897" width="5.125" style="8" customWidth="1"/>
    <col min="5898" max="5898" width="5.625" style="8" customWidth="1"/>
    <col min="5899" max="5899" width="10.625" style="8" customWidth="1"/>
    <col min="5900" max="5900" width="6.625" style="8" customWidth="1"/>
    <col min="5901" max="5901" width="4.625" style="8" customWidth="1"/>
    <col min="5902" max="5903" width="2.625" style="8" customWidth="1"/>
    <col min="5904" max="5904" width="12.625" style="8" customWidth="1"/>
    <col min="5905" max="5905" width="3.625" style="8" customWidth="1"/>
    <col min="5906" max="5906" width="11.5" style="8" customWidth="1"/>
    <col min="5907" max="5910" width="10.625" style="8" customWidth="1"/>
    <col min="5911" max="5911" width="7.625" style="8" customWidth="1"/>
    <col min="5912" max="6016" width="8.625" style="8" customWidth="1"/>
    <col min="6017" max="6144" width="9" style="8"/>
    <col min="6145" max="6145" width="2.625" style="8" customWidth="1"/>
    <col min="6146" max="6146" width="4.5" style="8" customWidth="1"/>
    <col min="6147" max="6147" width="10.625" style="8" customWidth="1"/>
    <col min="6148" max="6148" width="10.5" style="8" customWidth="1"/>
    <col min="6149" max="6149" width="16.625" style="8" customWidth="1"/>
    <col min="6150" max="6150" width="4.625" style="8" customWidth="1"/>
    <col min="6151" max="6152" width="2.625" style="8" customWidth="1"/>
    <col min="6153" max="6153" width="5.125" style="8" customWidth="1"/>
    <col min="6154" max="6154" width="5.625" style="8" customWidth="1"/>
    <col min="6155" max="6155" width="10.625" style="8" customWidth="1"/>
    <col min="6156" max="6156" width="6.625" style="8" customWidth="1"/>
    <col min="6157" max="6157" width="4.625" style="8" customWidth="1"/>
    <col min="6158" max="6159" width="2.625" style="8" customWidth="1"/>
    <col min="6160" max="6160" width="12.625" style="8" customWidth="1"/>
    <col min="6161" max="6161" width="3.625" style="8" customWidth="1"/>
    <col min="6162" max="6162" width="11.5" style="8" customWidth="1"/>
    <col min="6163" max="6166" width="10.625" style="8" customWidth="1"/>
    <col min="6167" max="6167" width="7.625" style="8" customWidth="1"/>
    <col min="6168" max="6272" width="8.625" style="8" customWidth="1"/>
    <col min="6273" max="6400" width="9" style="8"/>
    <col min="6401" max="6401" width="2.625" style="8" customWidth="1"/>
    <col min="6402" max="6402" width="4.5" style="8" customWidth="1"/>
    <col min="6403" max="6403" width="10.625" style="8" customWidth="1"/>
    <col min="6404" max="6404" width="10.5" style="8" customWidth="1"/>
    <col min="6405" max="6405" width="16.625" style="8" customWidth="1"/>
    <col min="6406" max="6406" width="4.625" style="8" customWidth="1"/>
    <col min="6407" max="6408" width="2.625" style="8" customWidth="1"/>
    <col min="6409" max="6409" width="5.125" style="8" customWidth="1"/>
    <col min="6410" max="6410" width="5.625" style="8" customWidth="1"/>
    <col min="6411" max="6411" width="10.625" style="8" customWidth="1"/>
    <col min="6412" max="6412" width="6.625" style="8" customWidth="1"/>
    <col min="6413" max="6413" width="4.625" style="8" customWidth="1"/>
    <col min="6414" max="6415" width="2.625" style="8" customWidth="1"/>
    <col min="6416" max="6416" width="12.625" style="8" customWidth="1"/>
    <col min="6417" max="6417" width="3.625" style="8" customWidth="1"/>
    <col min="6418" max="6418" width="11.5" style="8" customWidth="1"/>
    <col min="6419" max="6422" width="10.625" style="8" customWidth="1"/>
    <col min="6423" max="6423" width="7.625" style="8" customWidth="1"/>
    <col min="6424" max="6528" width="8.625" style="8" customWidth="1"/>
    <col min="6529" max="6656" width="9" style="8"/>
    <col min="6657" max="6657" width="2.625" style="8" customWidth="1"/>
    <col min="6658" max="6658" width="4.5" style="8" customWidth="1"/>
    <col min="6659" max="6659" width="10.625" style="8" customWidth="1"/>
    <col min="6660" max="6660" width="10.5" style="8" customWidth="1"/>
    <col min="6661" max="6661" width="16.625" style="8" customWidth="1"/>
    <col min="6662" max="6662" width="4.625" style="8" customWidth="1"/>
    <col min="6663" max="6664" width="2.625" style="8" customWidth="1"/>
    <col min="6665" max="6665" width="5.125" style="8" customWidth="1"/>
    <col min="6666" max="6666" width="5.625" style="8" customWidth="1"/>
    <col min="6667" max="6667" width="10.625" style="8" customWidth="1"/>
    <col min="6668" max="6668" width="6.625" style="8" customWidth="1"/>
    <col min="6669" max="6669" width="4.625" style="8" customWidth="1"/>
    <col min="6670" max="6671" width="2.625" style="8" customWidth="1"/>
    <col min="6672" max="6672" width="12.625" style="8" customWidth="1"/>
    <col min="6673" max="6673" width="3.625" style="8" customWidth="1"/>
    <col min="6674" max="6674" width="11.5" style="8" customWidth="1"/>
    <col min="6675" max="6678" width="10.625" style="8" customWidth="1"/>
    <col min="6679" max="6679" width="7.625" style="8" customWidth="1"/>
    <col min="6680" max="6784" width="8.625" style="8" customWidth="1"/>
    <col min="6785" max="6912" width="9" style="8"/>
    <col min="6913" max="6913" width="2.625" style="8" customWidth="1"/>
    <col min="6914" max="6914" width="4.5" style="8" customWidth="1"/>
    <col min="6915" max="6915" width="10.625" style="8" customWidth="1"/>
    <col min="6916" max="6916" width="10.5" style="8" customWidth="1"/>
    <col min="6917" max="6917" width="16.625" style="8" customWidth="1"/>
    <col min="6918" max="6918" width="4.625" style="8" customWidth="1"/>
    <col min="6919" max="6920" width="2.625" style="8" customWidth="1"/>
    <col min="6921" max="6921" width="5.125" style="8" customWidth="1"/>
    <col min="6922" max="6922" width="5.625" style="8" customWidth="1"/>
    <col min="6923" max="6923" width="10.625" style="8" customWidth="1"/>
    <col min="6924" max="6924" width="6.625" style="8" customWidth="1"/>
    <col min="6925" max="6925" width="4.625" style="8" customWidth="1"/>
    <col min="6926" max="6927" width="2.625" style="8" customWidth="1"/>
    <col min="6928" max="6928" width="12.625" style="8" customWidth="1"/>
    <col min="6929" max="6929" width="3.625" style="8" customWidth="1"/>
    <col min="6930" max="6930" width="11.5" style="8" customWidth="1"/>
    <col min="6931" max="6934" width="10.625" style="8" customWidth="1"/>
    <col min="6935" max="6935" width="7.625" style="8" customWidth="1"/>
    <col min="6936" max="7040" width="8.625" style="8" customWidth="1"/>
    <col min="7041" max="7168" width="9" style="8"/>
    <col min="7169" max="7169" width="2.625" style="8" customWidth="1"/>
    <col min="7170" max="7170" width="4.5" style="8" customWidth="1"/>
    <col min="7171" max="7171" width="10.625" style="8" customWidth="1"/>
    <col min="7172" max="7172" width="10.5" style="8" customWidth="1"/>
    <col min="7173" max="7173" width="16.625" style="8" customWidth="1"/>
    <col min="7174" max="7174" width="4.625" style="8" customWidth="1"/>
    <col min="7175" max="7176" width="2.625" style="8" customWidth="1"/>
    <col min="7177" max="7177" width="5.125" style="8" customWidth="1"/>
    <col min="7178" max="7178" width="5.625" style="8" customWidth="1"/>
    <col min="7179" max="7179" width="10.625" style="8" customWidth="1"/>
    <col min="7180" max="7180" width="6.625" style="8" customWidth="1"/>
    <col min="7181" max="7181" width="4.625" style="8" customWidth="1"/>
    <col min="7182" max="7183" width="2.625" style="8" customWidth="1"/>
    <col min="7184" max="7184" width="12.625" style="8" customWidth="1"/>
    <col min="7185" max="7185" width="3.625" style="8" customWidth="1"/>
    <col min="7186" max="7186" width="11.5" style="8" customWidth="1"/>
    <col min="7187" max="7190" width="10.625" style="8" customWidth="1"/>
    <col min="7191" max="7191" width="7.625" style="8" customWidth="1"/>
    <col min="7192" max="7296" width="8.625" style="8" customWidth="1"/>
    <col min="7297" max="7424" width="9" style="8"/>
    <col min="7425" max="7425" width="2.625" style="8" customWidth="1"/>
    <col min="7426" max="7426" width="4.5" style="8" customWidth="1"/>
    <col min="7427" max="7427" width="10.625" style="8" customWidth="1"/>
    <col min="7428" max="7428" width="10.5" style="8" customWidth="1"/>
    <col min="7429" max="7429" width="16.625" style="8" customWidth="1"/>
    <col min="7430" max="7430" width="4.625" style="8" customWidth="1"/>
    <col min="7431" max="7432" width="2.625" style="8" customWidth="1"/>
    <col min="7433" max="7433" width="5.125" style="8" customWidth="1"/>
    <col min="7434" max="7434" width="5.625" style="8" customWidth="1"/>
    <col min="7435" max="7435" width="10.625" style="8" customWidth="1"/>
    <col min="7436" max="7436" width="6.625" style="8" customWidth="1"/>
    <col min="7437" max="7437" width="4.625" style="8" customWidth="1"/>
    <col min="7438" max="7439" width="2.625" style="8" customWidth="1"/>
    <col min="7440" max="7440" width="12.625" style="8" customWidth="1"/>
    <col min="7441" max="7441" width="3.625" style="8" customWidth="1"/>
    <col min="7442" max="7442" width="11.5" style="8" customWidth="1"/>
    <col min="7443" max="7446" width="10.625" style="8" customWidth="1"/>
    <col min="7447" max="7447" width="7.625" style="8" customWidth="1"/>
    <col min="7448" max="7552" width="8.625" style="8" customWidth="1"/>
    <col min="7553" max="7680" width="9" style="8"/>
    <col min="7681" max="7681" width="2.625" style="8" customWidth="1"/>
    <col min="7682" max="7682" width="4.5" style="8" customWidth="1"/>
    <col min="7683" max="7683" width="10.625" style="8" customWidth="1"/>
    <col min="7684" max="7684" width="10.5" style="8" customWidth="1"/>
    <col min="7685" max="7685" width="16.625" style="8" customWidth="1"/>
    <col min="7686" max="7686" width="4.625" style="8" customWidth="1"/>
    <col min="7687" max="7688" width="2.625" style="8" customWidth="1"/>
    <col min="7689" max="7689" width="5.125" style="8" customWidth="1"/>
    <col min="7690" max="7690" width="5.625" style="8" customWidth="1"/>
    <col min="7691" max="7691" width="10.625" style="8" customWidth="1"/>
    <col min="7692" max="7692" width="6.625" style="8" customWidth="1"/>
    <col min="7693" max="7693" width="4.625" style="8" customWidth="1"/>
    <col min="7694" max="7695" width="2.625" style="8" customWidth="1"/>
    <col min="7696" max="7696" width="12.625" style="8" customWidth="1"/>
    <col min="7697" max="7697" width="3.625" style="8" customWidth="1"/>
    <col min="7698" max="7698" width="11.5" style="8" customWidth="1"/>
    <col min="7699" max="7702" width="10.625" style="8" customWidth="1"/>
    <col min="7703" max="7703" width="7.625" style="8" customWidth="1"/>
    <col min="7704" max="7808" width="8.625" style="8" customWidth="1"/>
    <col min="7809" max="7936" width="9" style="8"/>
    <col min="7937" max="7937" width="2.625" style="8" customWidth="1"/>
    <col min="7938" max="7938" width="4.5" style="8" customWidth="1"/>
    <col min="7939" max="7939" width="10.625" style="8" customWidth="1"/>
    <col min="7940" max="7940" width="10.5" style="8" customWidth="1"/>
    <col min="7941" max="7941" width="16.625" style="8" customWidth="1"/>
    <col min="7942" max="7942" width="4.625" style="8" customWidth="1"/>
    <col min="7943" max="7944" width="2.625" style="8" customWidth="1"/>
    <col min="7945" max="7945" width="5.125" style="8" customWidth="1"/>
    <col min="7946" max="7946" width="5.625" style="8" customWidth="1"/>
    <col min="7947" max="7947" width="10.625" style="8" customWidth="1"/>
    <col min="7948" max="7948" width="6.625" style="8" customWidth="1"/>
    <col min="7949" max="7949" width="4.625" style="8" customWidth="1"/>
    <col min="7950" max="7951" width="2.625" style="8" customWidth="1"/>
    <col min="7952" max="7952" width="12.625" style="8" customWidth="1"/>
    <col min="7953" max="7953" width="3.625" style="8" customWidth="1"/>
    <col min="7954" max="7954" width="11.5" style="8" customWidth="1"/>
    <col min="7955" max="7958" width="10.625" style="8" customWidth="1"/>
    <col min="7959" max="7959" width="7.625" style="8" customWidth="1"/>
    <col min="7960" max="8064" width="8.625" style="8" customWidth="1"/>
    <col min="8065" max="8192" width="9" style="8"/>
    <col min="8193" max="8193" width="2.625" style="8" customWidth="1"/>
    <col min="8194" max="8194" width="4.5" style="8" customWidth="1"/>
    <col min="8195" max="8195" width="10.625" style="8" customWidth="1"/>
    <col min="8196" max="8196" width="10.5" style="8" customWidth="1"/>
    <col min="8197" max="8197" width="16.625" style="8" customWidth="1"/>
    <col min="8198" max="8198" width="4.625" style="8" customWidth="1"/>
    <col min="8199" max="8200" width="2.625" style="8" customWidth="1"/>
    <col min="8201" max="8201" width="5.125" style="8" customWidth="1"/>
    <col min="8202" max="8202" width="5.625" style="8" customWidth="1"/>
    <col min="8203" max="8203" width="10.625" style="8" customWidth="1"/>
    <col min="8204" max="8204" width="6.625" style="8" customWidth="1"/>
    <col min="8205" max="8205" width="4.625" style="8" customWidth="1"/>
    <col min="8206" max="8207" width="2.625" style="8" customWidth="1"/>
    <col min="8208" max="8208" width="12.625" style="8" customWidth="1"/>
    <col min="8209" max="8209" width="3.625" style="8" customWidth="1"/>
    <col min="8210" max="8210" width="11.5" style="8" customWidth="1"/>
    <col min="8211" max="8214" width="10.625" style="8" customWidth="1"/>
    <col min="8215" max="8215" width="7.625" style="8" customWidth="1"/>
    <col min="8216" max="8320" width="8.625" style="8" customWidth="1"/>
    <col min="8321" max="8448" width="9" style="8"/>
    <col min="8449" max="8449" width="2.625" style="8" customWidth="1"/>
    <col min="8450" max="8450" width="4.5" style="8" customWidth="1"/>
    <col min="8451" max="8451" width="10.625" style="8" customWidth="1"/>
    <col min="8452" max="8452" width="10.5" style="8" customWidth="1"/>
    <col min="8453" max="8453" width="16.625" style="8" customWidth="1"/>
    <col min="8454" max="8454" width="4.625" style="8" customWidth="1"/>
    <col min="8455" max="8456" width="2.625" style="8" customWidth="1"/>
    <col min="8457" max="8457" width="5.125" style="8" customWidth="1"/>
    <col min="8458" max="8458" width="5.625" style="8" customWidth="1"/>
    <col min="8459" max="8459" width="10.625" style="8" customWidth="1"/>
    <col min="8460" max="8460" width="6.625" style="8" customWidth="1"/>
    <col min="8461" max="8461" width="4.625" style="8" customWidth="1"/>
    <col min="8462" max="8463" width="2.625" style="8" customWidth="1"/>
    <col min="8464" max="8464" width="12.625" style="8" customWidth="1"/>
    <col min="8465" max="8465" width="3.625" style="8" customWidth="1"/>
    <col min="8466" max="8466" width="11.5" style="8" customWidth="1"/>
    <col min="8467" max="8470" width="10.625" style="8" customWidth="1"/>
    <col min="8471" max="8471" width="7.625" style="8" customWidth="1"/>
    <col min="8472" max="8576" width="8.625" style="8" customWidth="1"/>
    <col min="8577" max="8704" width="9" style="8"/>
    <col min="8705" max="8705" width="2.625" style="8" customWidth="1"/>
    <col min="8706" max="8706" width="4.5" style="8" customWidth="1"/>
    <col min="8707" max="8707" width="10.625" style="8" customWidth="1"/>
    <col min="8708" max="8708" width="10.5" style="8" customWidth="1"/>
    <col min="8709" max="8709" width="16.625" style="8" customWidth="1"/>
    <col min="8710" max="8710" width="4.625" style="8" customWidth="1"/>
    <col min="8711" max="8712" width="2.625" style="8" customWidth="1"/>
    <col min="8713" max="8713" width="5.125" style="8" customWidth="1"/>
    <col min="8714" max="8714" width="5.625" style="8" customWidth="1"/>
    <col min="8715" max="8715" width="10.625" style="8" customWidth="1"/>
    <col min="8716" max="8716" width="6.625" style="8" customWidth="1"/>
    <col min="8717" max="8717" width="4.625" style="8" customWidth="1"/>
    <col min="8718" max="8719" width="2.625" style="8" customWidth="1"/>
    <col min="8720" max="8720" width="12.625" style="8" customWidth="1"/>
    <col min="8721" max="8721" width="3.625" style="8" customWidth="1"/>
    <col min="8722" max="8722" width="11.5" style="8" customWidth="1"/>
    <col min="8723" max="8726" width="10.625" style="8" customWidth="1"/>
    <col min="8727" max="8727" width="7.625" style="8" customWidth="1"/>
    <col min="8728" max="8832" width="8.625" style="8" customWidth="1"/>
    <col min="8833" max="8960" width="9" style="8"/>
    <col min="8961" max="8961" width="2.625" style="8" customWidth="1"/>
    <col min="8962" max="8962" width="4.5" style="8" customWidth="1"/>
    <col min="8963" max="8963" width="10.625" style="8" customWidth="1"/>
    <col min="8964" max="8964" width="10.5" style="8" customWidth="1"/>
    <col min="8965" max="8965" width="16.625" style="8" customWidth="1"/>
    <col min="8966" max="8966" width="4.625" style="8" customWidth="1"/>
    <col min="8967" max="8968" width="2.625" style="8" customWidth="1"/>
    <col min="8969" max="8969" width="5.125" style="8" customWidth="1"/>
    <col min="8970" max="8970" width="5.625" style="8" customWidth="1"/>
    <col min="8971" max="8971" width="10.625" style="8" customWidth="1"/>
    <col min="8972" max="8972" width="6.625" style="8" customWidth="1"/>
    <col min="8973" max="8973" width="4.625" style="8" customWidth="1"/>
    <col min="8974" max="8975" width="2.625" style="8" customWidth="1"/>
    <col min="8976" max="8976" width="12.625" style="8" customWidth="1"/>
    <col min="8977" max="8977" width="3.625" style="8" customWidth="1"/>
    <col min="8978" max="8978" width="11.5" style="8" customWidth="1"/>
    <col min="8979" max="8982" width="10.625" style="8" customWidth="1"/>
    <col min="8983" max="8983" width="7.625" style="8" customWidth="1"/>
    <col min="8984" max="9088" width="8.625" style="8" customWidth="1"/>
    <col min="9089" max="9216" width="9" style="8"/>
    <col min="9217" max="9217" width="2.625" style="8" customWidth="1"/>
    <col min="9218" max="9218" width="4.5" style="8" customWidth="1"/>
    <col min="9219" max="9219" width="10.625" style="8" customWidth="1"/>
    <col min="9220" max="9220" width="10.5" style="8" customWidth="1"/>
    <col min="9221" max="9221" width="16.625" style="8" customWidth="1"/>
    <col min="9222" max="9222" width="4.625" style="8" customWidth="1"/>
    <col min="9223" max="9224" width="2.625" style="8" customWidth="1"/>
    <col min="9225" max="9225" width="5.125" style="8" customWidth="1"/>
    <col min="9226" max="9226" width="5.625" style="8" customWidth="1"/>
    <col min="9227" max="9227" width="10.625" style="8" customWidth="1"/>
    <col min="9228" max="9228" width="6.625" style="8" customWidth="1"/>
    <col min="9229" max="9229" width="4.625" style="8" customWidth="1"/>
    <col min="9230" max="9231" width="2.625" style="8" customWidth="1"/>
    <col min="9232" max="9232" width="12.625" style="8" customWidth="1"/>
    <col min="9233" max="9233" width="3.625" style="8" customWidth="1"/>
    <col min="9234" max="9234" width="11.5" style="8" customWidth="1"/>
    <col min="9235" max="9238" width="10.625" style="8" customWidth="1"/>
    <col min="9239" max="9239" width="7.625" style="8" customWidth="1"/>
    <col min="9240" max="9344" width="8.625" style="8" customWidth="1"/>
    <col min="9345" max="9472" width="9" style="8"/>
    <col min="9473" max="9473" width="2.625" style="8" customWidth="1"/>
    <col min="9474" max="9474" width="4.5" style="8" customWidth="1"/>
    <col min="9475" max="9475" width="10.625" style="8" customWidth="1"/>
    <col min="9476" max="9476" width="10.5" style="8" customWidth="1"/>
    <col min="9477" max="9477" width="16.625" style="8" customWidth="1"/>
    <col min="9478" max="9478" width="4.625" style="8" customWidth="1"/>
    <col min="9479" max="9480" width="2.625" style="8" customWidth="1"/>
    <col min="9481" max="9481" width="5.125" style="8" customWidth="1"/>
    <col min="9482" max="9482" width="5.625" style="8" customWidth="1"/>
    <col min="9483" max="9483" width="10.625" style="8" customWidth="1"/>
    <col min="9484" max="9484" width="6.625" style="8" customWidth="1"/>
    <col min="9485" max="9485" width="4.625" style="8" customWidth="1"/>
    <col min="9486" max="9487" width="2.625" style="8" customWidth="1"/>
    <col min="9488" max="9488" width="12.625" style="8" customWidth="1"/>
    <col min="9489" max="9489" width="3.625" style="8" customWidth="1"/>
    <col min="9490" max="9490" width="11.5" style="8" customWidth="1"/>
    <col min="9491" max="9494" width="10.625" style="8" customWidth="1"/>
    <col min="9495" max="9495" width="7.625" style="8" customWidth="1"/>
    <col min="9496" max="9600" width="8.625" style="8" customWidth="1"/>
    <col min="9601" max="9728" width="9" style="8"/>
    <col min="9729" max="9729" width="2.625" style="8" customWidth="1"/>
    <col min="9730" max="9730" width="4.5" style="8" customWidth="1"/>
    <col min="9731" max="9731" width="10.625" style="8" customWidth="1"/>
    <col min="9732" max="9732" width="10.5" style="8" customWidth="1"/>
    <col min="9733" max="9733" width="16.625" style="8" customWidth="1"/>
    <col min="9734" max="9734" width="4.625" style="8" customWidth="1"/>
    <col min="9735" max="9736" width="2.625" style="8" customWidth="1"/>
    <col min="9737" max="9737" width="5.125" style="8" customWidth="1"/>
    <col min="9738" max="9738" width="5.625" style="8" customWidth="1"/>
    <col min="9739" max="9739" width="10.625" style="8" customWidth="1"/>
    <col min="9740" max="9740" width="6.625" style="8" customWidth="1"/>
    <col min="9741" max="9741" width="4.625" style="8" customWidth="1"/>
    <col min="9742" max="9743" width="2.625" style="8" customWidth="1"/>
    <col min="9744" max="9744" width="12.625" style="8" customWidth="1"/>
    <col min="9745" max="9745" width="3.625" style="8" customWidth="1"/>
    <col min="9746" max="9746" width="11.5" style="8" customWidth="1"/>
    <col min="9747" max="9750" width="10.625" style="8" customWidth="1"/>
    <col min="9751" max="9751" width="7.625" style="8" customWidth="1"/>
    <col min="9752" max="9856" width="8.625" style="8" customWidth="1"/>
    <col min="9857" max="9984" width="9" style="8"/>
    <col min="9985" max="9985" width="2.625" style="8" customWidth="1"/>
    <col min="9986" max="9986" width="4.5" style="8" customWidth="1"/>
    <col min="9987" max="9987" width="10.625" style="8" customWidth="1"/>
    <col min="9988" max="9988" width="10.5" style="8" customWidth="1"/>
    <col min="9989" max="9989" width="16.625" style="8" customWidth="1"/>
    <col min="9990" max="9990" width="4.625" style="8" customWidth="1"/>
    <col min="9991" max="9992" width="2.625" style="8" customWidth="1"/>
    <col min="9993" max="9993" width="5.125" style="8" customWidth="1"/>
    <col min="9994" max="9994" width="5.625" style="8" customWidth="1"/>
    <col min="9995" max="9995" width="10.625" style="8" customWidth="1"/>
    <col min="9996" max="9996" width="6.625" style="8" customWidth="1"/>
    <col min="9997" max="9997" width="4.625" style="8" customWidth="1"/>
    <col min="9998" max="9999" width="2.625" style="8" customWidth="1"/>
    <col min="10000" max="10000" width="12.625" style="8" customWidth="1"/>
    <col min="10001" max="10001" width="3.625" style="8" customWidth="1"/>
    <col min="10002" max="10002" width="11.5" style="8" customWidth="1"/>
    <col min="10003" max="10006" width="10.625" style="8" customWidth="1"/>
    <col min="10007" max="10007" width="7.625" style="8" customWidth="1"/>
    <col min="10008" max="10112" width="8.625" style="8" customWidth="1"/>
    <col min="10113" max="10240" width="9" style="8"/>
    <col min="10241" max="10241" width="2.625" style="8" customWidth="1"/>
    <col min="10242" max="10242" width="4.5" style="8" customWidth="1"/>
    <col min="10243" max="10243" width="10.625" style="8" customWidth="1"/>
    <col min="10244" max="10244" width="10.5" style="8" customWidth="1"/>
    <col min="10245" max="10245" width="16.625" style="8" customWidth="1"/>
    <col min="10246" max="10246" width="4.625" style="8" customWidth="1"/>
    <col min="10247" max="10248" width="2.625" style="8" customWidth="1"/>
    <col min="10249" max="10249" width="5.125" style="8" customWidth="1"/>
    <col min="10250" max="10250" width="5.625" style="8" customWidth="1"/>
    <col min="10251" max="10251" width="10.625" style="8" customWidth="1"/>
    <col min="10252" max="10252" width="6.625" style="8" customWidth="1"/>
    <col min="10253" max="10253" width="4.625" style="8" customWidth="1"/>
    <col min="10254" max="10255" width="2.625" style="8" customWidth="1"/>
    <col min="10256" max="10256" width="12.625" style="8" customWidth="1"/>
    <col min="10257" max="10257" width="3.625" style="8" customWidth="1"/>
    <col min="10258" max="10258" width="11.5" style="8" customWidth="1"/>
    <col min="10259" max="10262" width="10.625" style="8" customWidth="1"/>
    <col min="10263" max="10263" width="7.625" style="8" customWidth="1"/>
    <col min="10264" max="10368" width="8.625" style="8" customWidth="1"/>
    <col min="10369" max="10496" width="9" style="8"/>
    <col min="10497" max="10497" width="2.625" style="8" customWidth="1"/>
    <col min="10498" max="10498" width="4.5" style="8" customWidth="1"/>
    <col min="10499" max="10499" width="10.625" style="8" customWidth="1"/>
    <col min="10500" max="10500" width="10.5" style="8" customWidth="1"/>
    <col min="10501" max="10501" width="16.625" style="8" customWidth="1"/>
    <col min="10502" max="10502" width="4.625" style="8" customWidth="1"/>
    <col min="10503" max="10504" width="2.625" style="8" customWidth="1"/>
    <col min="10505" max="10505" width="5.125" style="8" customWidth="1"/>
    <col min="10506" max="10506" width="5.625" style="8" customWidth="1"/>
    <col min="10507" max="10507" width="10.625" style="8" customWidth="1"/>
    <col min="10508" max="10508" width="6.625" style="8" customWidth="1"/>
    <col min="10509" max="10509" width="4.625" style="8" customWidth="1"/>
    <col min="10510" max="10511" width="2.625" style="8" customWidth="1"/>
    <col min="10512" max="10512" width="12.625" style="8" customWidth="1"/>
    <col min="10513" max="10513" width="3.625" style="8" customWidth="1"/>
    <col min="10514" max="10514" width="11.5" style="8" customWidth="1"/>
    <col min="10515" max="10518" width="10.625" style="8" customWidth="1"/>
    <col min="10519" max="10519" width="7.625" style="8" customWidth="1"/>
    <col min="10520" max="10624" width="8.625" style="8" customWidth="1"/>
    <col min="10625" max="10752" width="9" style="8"/>
    <col min="10753" max="10753" width="2.625" style="8" customWidth="1"/>
    <col min="10754" max="10754" width="4.5" style="8" customWidth="1"/>
    <col min="10755" max="10755" width="10.625" style="8" customWidth="1"/>
    <col min="10756" max="10756" width="10.5" style="8" customWidth="1"/>
    <col min="10757" max="10757" width="16.625" style="8" customWidth="1"/>
    <col min="10758" max="10758" width="4.625" style="8" customWidth="1"/>
    <col min="10759" max="10760" width="2.625" style="8" customWidth="1"/>
    <col min="10761" max="10761" width="5.125" style="8" customWidth="1"/>
    <col min="10762" max="10762" width="5.625" style="8" customWidth="1"/>
    <col min="10763" max="10763" width="10.625" style="8" customWidth="1"/>
    <col min="10764" max="10764" width="6.625" style="8" customWidth="1"/>
    <col min="10765" max="10765" width="4.625" style="8" customWidth="1"/>
    <col min="10766" max="10767" width="2.625" style="8" customWidth="1"/>
    <col min="10768" max="10768" width="12.625" style="8" customWidth="1"/>
    <col min="10769" max="10769" width="3.625" style="8" customWidth="1"/>
    <col min="10770" max="10770" width="11.5" style="8" customWidth="1"/>
    <col min="10771" max="10774" width="10.625" style="8" customWidth="1"/>
    <col min="10775" max="10775" width="7.625" style="8" customWidth="1"/>
    <col min="10776" max="10880" width="8.625" style="8" customWidth="1"/>
    <col min="10881" max="11008" width="9" style="8"/>
    <col min="11009" max="11009" width="2.625" style="8" customWidth="1"/>
    <col min="11010" max="11010" width="4.5" style="8" customWidth="1"/>
    <col min="11011" max="11011" width="10.625" style="8" customWidth="1"/>
    <col min="11012" max="11012" width="10.5" style="8" customWidth="1"/>
    <col min="11013" max="11013" width="16.625" style="8" customWidth="1"/>
    <col min="11014" max="11014" width="4.625" style="8" customWidth="1"/>
    <col min="11015" max="11016" width="2.625" style="8" customWidth="1"/>
    <col min="11017" max="11017" width="5.125" style="8" customWidth="1"/>
    <col min="11018" max="11018" width="5.625" style="8" customWidth="1"/>
    <col min="11019" max="11019" width="10.625" style="8" customWidth="1"/>
    <col min="11020" max="11020" width="6.625" style="8" customWidth="1"/>
    <col min="11021" max="11021" width="4.625" style="8" customWidth="1"/>
    <col min="11022" max="11023" width="2.625" style="8" customWidth="1"/>
    <col min="11024" max="11024" width="12.625" style="8" customWidth="1"/>
    <col min="11025" max="11025" width="3.625" style="8" customWidth="1"/>
    <col min="11026" max="11026" width="11.5" style="8" customWidth="1"/>
    <col min="11027" max="11030" width="10.625" style="8" customWidth="1"/>
    <col min="11031" max="11031" width="7.625" style="8" customWidth="1"/>
    <col min="11032" max="11136" width="8.625" style="8" customWidth="1"/>
    <col min="11137" max="11264" width="9" style="8"/>
    <col min="11265" max="11265" width="2.625" style="8" customWidth="1"/>
    <col min="11266" max="11266" width="4.5" style="8" customWidth="1"/>
    <col min="11267" max="11267" width="10.625" style="8" customWidth="1"/>
    <col min="11268" max="11268" width="10.5" style="8" customWidth="1"/>
    <col min="11269" max="11269" width="16.625" style="8" customWidth="1"/>
    <col min="11270" max="11270" width="4.625" style="8" customWidth="1"/>
    <col min="11271" max="11272" width="2.625" style="8" customWidth="1"/>
    <col min="11273" max="11273" width="5.125" style="8" customWidth="1"/>
    <col min="11274" max="11274" width="5.625" style="8" customWidth="1"/>
    <col min="11275" max="11275" width="10.625" style="8" customWidth="1"/>
    <col min="11276" max="11276" width="6.625" style="8" customWidth="1"/>
    <col min="11277" max="11277" width="4.625" style="8" customWidth="1"/>
    <col min="11278" max="11279" width="2.625" style="8" customWidth="1"/>
    <col min="11280" max="11280" width="12.625" style="8" customWidth="1"/>
    <col min="11281" max="11281" width="3.625" style="8" customWidth="1"/>
    <col min="11282" max="11282" width="11.5" style="8" customWidth="1"/>
    <col min="11283" max="11286" width="10.625" style="8" customWidth="1"/>
    <col min="11287" max="11287" width="7.625" style="8" customWidth="1"/>
    <col min="11288" max="11392" width="8.625" style="8" customWidth="1"/>
    <col min="11393" max="11520" width="9" style="8"/>
    <col min="11521" max="11521" width="2.625" style="8" customWidth="1"/>
    <col min="11522" max="11522" width="4.5" style="8" customWidth="1"/>
    <col min="11523" max="11523" width="10.625" style="8" customWidth="1"/>
    <col min="11524" max="11524" width="10.5" style="8" customWidth="1"/>
    <col min="11525" max="11525" width="16.625" style="8" customWidth="1"/>
    <col min="11526" max="11526" width="4.625" style="8" customWidth="1"/>
    <col min="11527" max="11528" width="2.625" style="8" customWidth="1"/>
    <col min="11529" max="11529" width="5.125" style="8" customWidth="1"/>
    <col min="11530" max="11530" width="5.625" style="8" customWidth="1"/>
    <col min="11531" max="11531" width="10.625" style="8" customWidth="1"/>
    <col min="11532" max="11532" width="6.625" style="8" customWidth="1"/>
    <col min="11533" max="11533" width="4.625" style="8" customWidth="1"/>
    <col min="11534" max="11535" width="2.625" style="8" customWidth="1"/>
    <col min="11536" max="11536" width="12.625" style="8" customWidth="1"/>
    <col min="11537" max="11537" width="3.625" style="8" customWidth="1"/>
    <col min="11538" max="11538" width="11.5" style="8" customWidth="1"/>
    <col min="11539" max="11542" width="10.625" style="8" customWidth="1"/>
    <col min="11543" max="11543" width="7.625" style="8" customWidth="1"/>
    <col min="11544" max="11648" width="8.625" style="8" customWidth="1"/>
    <col min="11649" max="11776" width="9" style="8"/>
    <col min="11777" max="11777" width="2.625" style="8" customWidth="1"/>
    <col min="11778" max="11778" width="4.5" style="8" customWidth="1"/>
    <col min="11779" max="11779" width="10.625" style="8" customWidth="1"/>
    <col min="11780" max="11780" width="10.5" style="8" customWidth="1"/>
    <col min="11781" max="11781" width="16.625" style="8" customWidth="1"/>
    <col min="11782" max="11782" width="4.625" style="8" customWidth="1"/>
    <col min="11783" max="11784" width="2.625" style="8" customWidth="1"/>
    <col min="11785" max="11785" width="5.125" style="8" customWidth="1"/>
    <col min="11786" max="11786" width="5.625" style="8" customWidth="1"/>
    <col min="11787" max="11787" width="10.625" style="8" customWidth="1"/>
    <col min="11788" max="11788" width="6.625" style="8" customWidth="1"/>
    <col min="11789" max="11789" width="4.625" style="8" customWidth="1"/>
    <col min="11790" max="11791" width="2.625" style="8" customWidth="1"/>
    <col min="11792" max="11792" width="12.625" style="8" customWidth="1"/>
    <col min="11793" max="11793" width="3.625" style="8" customWidth="1"/>
    <col min="11794" max="11794" width="11.5" style="8" customWidth="1"/>
    <col min="11795" max="11798" width="10.625" style="8" customWidth="1"/>
    <col min="11799" max="11799" width="7.625" style="8" customWidth="1"/>
    <col min="11800" max="11904" width="8.625" style="8" customWidth="1"/>
    <col min="11905" max="12032" width="9" style="8"/>
    <col min="12033" max="12033" width="2.625" style="8" customWidth="1"/>
    <col min="12034" max="12034" width="4.5" style="8" customWidth="1"/>
    <col min="12035" max="12035" width="10.625" style="8" customWidth="1"/>
    <col min="12036" max="12036" width="10.5" style="8" customWidth="1"/>
    <col min="12037" max="12037" width="16.625" style="8" customWidth="1"/>
    <col min="12038" max="12038" width="4.625" style="8" customWidth="1"/>
    <col min="12039" max="12040" width="2.625" style="8" customWidth="1"/>
    <col min="12041" max="12041" width="5.125" style="8" customWidth="1"/>
    <col min="12042" max="12042" width="5.625" style="8" customWidth="1"/>
    <col min="12043" max="12043" width="10.625" style="8" customWidth="1"/>
    <col min="12044" max="12044" width="6.625" style="8" customWidth="1"/>
    <col min="12045" max="12045" width="4.625" style="8" customWidth="1"/>
    <col min="12046" max="12047" width="2.625" style="8" customWidth="1"/>
    <col min="12048" max="12048" width="12.625" style="8" customWidth="1"/>
    <col min="12049" max="12049" width="3.625" style="8" customWidth="1"/>
    <col min="12050" max="12050" width="11.5" style="8" customWidth="1"/>
    <col min="12051" max="12054" width="10.625" style="8" customWidth="1"/>
    <col min="12055" max="12055" width="7.625" style="8" customWidth="1"/>
    <col min="12056" max="12160" width="8.625" style="8" customWidth="1"/>
    <col min="12161" max="12288" width="9" style="8"/>
    <col min="12289" max="12289" width="2.625" style="8" customWidth="1"/>
    <col min="12290" max="12290" width="4.5" style="8" customWidth="1"/>
    <col min="12291" max="12291" width="10.625" style="8" customWidth="1"/>
    <col min="12292" max="12292" width="10.5" style="8" customWidth="1"/>
    <col min="12293" max="12293" width="16.625" style="8" customWidth="1"/>
    <col min="12294" max="12294" width="4.625" style="8" customWidth="1"/>
    <col min="12295" max="12296" width="2.625" style="8" customWidth="1"/>
    <col min="12297" max="12297" width="5.125" style="8" customWidth="1"/>
    <col min="12298" max="12298" width="5.625" style="8" customWidth="1"/>
    <col min="12299" max="12299" width="10.625" style="8" customWidth="1"/>
    <col min="12300" max="12300" width="6.625" style="8" customWidth="1"/>
    <col min="12301" max="12301" width="4.625" style="8" customWidth="1"/>
    <col min="12302" max="12303" width="2.625" style="8" customWidth="1"/>
    <col min="12304" max="12304" width="12.625" style="8" customWidth="1"/>
    <col min="12305" max="12305" width="3.625" style="8" customWidth="1"/>
    <col min="12306" max="12306" width="11.5" style="8" customWidth="1"/>
    <col min="12307" max="12310" width="10.625" style="8" customWidth="1"/>
    <col min="12311" max="12311" width="7.625" style="8" customWidth="1"/>
    <col min="12312" max="12416" width="8.625" style="8" customWidth="1"/>
    <col min="12417" max="12544" width="9" style="8"/>
    <col min="12545" max="12545" width="2.625" style="8" customWidth="1"/>
    <col min="12546" max="12546" width="4.5" style="8" customWidth="1"/>
    <col min="12547" max="12547" width="10.625" style="8" customWidth="1"/>
    <col min="12548" max="12548" width="10.5" style="8" customWidth="1"/>
    <col min="12549" max="12549" width="16.625" style="8" customWidth="1"/>
    <col min="12550" max="12550" width="4.625" style="8" customWidth="1"/>
    <col min="12551" max="12552" width="2.625" style="8" customWidth="1"/>
    <col min="12553" max="12553" width="5.125" style="8" customWidth="1"/>
    <col min="12554" max="12554" width="5.625" style="8" customWidth="1"/>
    <col min="12555" max="12555" width="10.625" style="8" customWidth="1"/>
    <col min="12556" max="12556" width="6.625" style="8" customWidth="1"/>
    <col min="12557" max="12557" width="4.625" style="8" customWidth="1"/>
    <col min="12558" max="12559" width="2.625" style="8" customWidth="1"/>
    <col min="12560" max="12560" width="12.625" style="8" customWidth="1"/>
    <col min="12561" max="12561" width="3.625" style="8" customWidth="1"/>
    <col min="12562" max="12562" width="11.5" style="8" customWidth="1"/>
    <col min="12563" max="12566" width="10.625" style="8" customWidth="1"/>
    <col min="12567" max="12567" width="7.625" style="8" customWidth="1"/>
    <col min="12568" max="12672" width="8.625" style="8" customWidth="1"/>
    <col min="12673" max="12800" width="9" style="8"/>
    <col min="12801" max="12801" width="2.625" style="8" customWidth="1"/>
    <col min="12802" max="12802" width="4.5" style="8" customWidth="1"/>
    <col min="12803" max="12803" width="10.625" style="8" customWidth="1"/>
    <col min="12804" max="12804" width="10.5" style="8" customWidth="1"/>
    <col min="12805" max="12805" width="16.625" style="8" customWidth="1"/>
    <col min="12806" max="12806" width="4.625" style="8" customWidth="1"/>
    <col min="12807" max="12808" width="2.625" style="8" customWidth="1"/>
    <col min="12809" max="12809" width="5.125" style="8" customWidth="1"/>
    <col min="12810" max="12810" width="5.625" style="8" customWidth="1"/>
    <col min="12811" max="12811" width="10.625" style="8" customWidth="1"/>
    <col min="12812" max="12812" width="6.625" style="8" customWidth="1"/>
    <col min="12813" max="12813" width="4.625" style="8" customWidth="1"/>
    <col min="12814" max="12815" width="2.625" style="8" customWidth="1"/>
    <col min="12816" max="12816" width="12.625" style="8" customWidth="1"/>
    <col min="12817" max="12817" width="3.625" style="8" customWidth="1"/>
    <col min="12818" max="12818" width="11.5" style="8" customWidth="1"/>
    <col min="12819" max="12822" width="10.625" style="8" customWidth="1"/>
    <col min="12823" max="12823" width="7.625" style="8" customWidth="1"/>
    <col min="12824" max="12928" width="8.625" style="8" customWidth="1"/>
    <col min="12929" max="13056" width="9" style="8"/>
    <col min="13057" max="13057" width="2.625" style="8" customWidth="1"/>
    <col min="13058" max="13058" width="4.5" style="8" customWidth="1"/>
    <col min="13059" max="13059" width="10.625" style="8" customWidth="1"/>
    <col min="13060" max="13060" width="10.5" style="8" customWidth="1"/>
    <col min="13061" max="13061" width="16.625" style="8" customWidth="1"/>
    <col min="13062" max="13062" width="4.625" style="8" customWidth="1"/>
    <col min="13063" max="13064" width="2.625" style="8" customWidth="1"/>
    <col min="13065" max="13065" width="5.125" style="8" customWidth="1"/>
    <col min="13066" max="13066" width="5.625" style="8" customWidth="1"/>
    <col min="13067" max="13067" width="10.625" style="8" customWidth="1"/>
    <col min="13068" max="13068" width="6.625" style="8" customWidth="1"/>
    <col min="13069" max="13069" width="4.625" style="8" customWidth="1"/>
    <col min="13070" max="13071" width="2.625" style="8" customWidth="1"/>
    <col min="13072" max="13072" width="12.625" style="8" customWidth="1"/>
    <col min="13073" max="13073" width="3.625" style="8" customWidth="1"/>
    <col min="13074" max="13074" width="11.5" style="8" customWidth="1"/>
    <col min="13075" max="13078" width="10.625" style="8" customWidth="1"/>
    <col min="13079" max="13079" width="7.625" style="8" customWidth="1"/>
    <col min="13080" max="13184" width="8.625" style="8" customWidth="1"/>
    <col min="13185" max="13312" width="9" style="8"/>
    <col min="13313" max="13313" width="2.625" style="8" customWidth="1"/>
    <col min="13314" max="13314" width="4.5" style="8" customWidth="1"/>
    <col min="13315" max="13315" width="10.625" style="8" customWidth="1"/>
    <col min="13316" max="13316" width="10.5" style="8" customWidth="1"/>
    <col min="13317" max="13317" width="16.625" style="8" customWidth="1"/>
    <col min="13318" max="13318" width="4.625" style="8" customWidth="1"/>
    <col min="13319" max="13320" width="2.625" style="8" customWidth="1"/>
    <col min="13321" max="13321" width="5.125" style="8" customWidth="1"/>
    <col min="13322" max="13322" width="5.625" style="8" customWidth="1"/>
    <col min="13323" max="13323" width="10.625" style="8" customWidth="1"/>
    <col min="13324" max="13324" width="6.625" style="8" customWidth="1"/>
    <col min="13325" max="13325" width="4.625" style="8" customWidth="1"/>
    <col min="13326" max="13327" width="2.625" style="8" customWidth="1"/>
    <col min="13328" max="13328" width="12.625" style="8" customWidth="1"/>
    <col min="13329" max="13329" width="3.625" style="8" customWidth="1"/>
    <col min="13330" max="13330" width="11.5" style="8" customWidth="1"/>
    <col min="13331" max="13334" width="10.625" style="8" customWidth="1"/>
    <col min="13335" max="13335" width="7.625" style="8" customWidth="1"/>
    <col min="13336" max="13440" width="8.625" style="8" customWidth="1"/>
    <col min="13441" max="13568" width="9" style="8"/>
    <col min="13569" max="13569" width="2.625" style="8" customWidth="1"/>
    <col min="13570" max="13570" width="4.5" style="8" customWidth="1"/>
    <col min="13571" max="13571" width="10.625" style="8" customWidth="1"/>
    <col min="13572" max="13572" width="10.5" style="8" customWidth="1"/>
    <col min="13573" max="13573" width="16.625" style="8" customWidth="1"/>
    <col min="13574" max="13574" width="4.625" style="8" customWidth="1"/>
    <col min="13575" max="13576" width="2.625" style="8" customWidth="1"/>
    <col min="13577" max="13577" width="5.125" style="8" customWidth="1"/>
    <col min="13578" max="13578" width="5.625" style="8" customWidth="1"/>
    <col min="13579" max="13579" width="10.625" style="8" customWidth="1"/>
    <col min="13580" max="13580" width="6.625" style="8" customWidth="1"/>
    <col min="13581" max="13581" width="4.625" style="8" customWidth="1"/>
    <col min="13582" max="13583" width="2.625" style="8" customWidth="1"/>
    <col min="13584" max="13584" width="12.625" style="8" customWidth="1"/>
    <col min="13585" max="13585" width="3.625" style="8" customWidth="1"/>
    <col min="13586" max="13586" width="11.5" style="8" customWidth="1"/>
    <col min="13587" max="13590" width="10.625" style="8" customWidth="1"/>
    <col min="13591" max="13591" width="7.625" style="8" customWidth="1"/>
    <col min="13592" max="13696" width="8.625" style="8" customWidth="1"/>
    <col min="13697" max="13824" width="9" style="8"/>
    <col min="13825" max="13825" width="2.625" style="8" customWidth="1"/>
    <col min="13826" max="13826" width="4.5" style="8" customWidth="1"/>
    <col min="13827" max="13827" width="10.625" style="8" customWidth="1"/>
    <col min="13828" max="13828" width="10.5" style="8" customWidth="1"/>
    <col min="13829" max="13829" width="16.625" style="8" customWidth="1"/>
    <col min="13830" max="13830" width="4.625" style="8" customWidth="1"/>
    <col min="13831" max="13832" width="2.625" style="8" customWidth="1"/>
    <col min="13833" max="13833" width="5.125" style="8" customWidth="1"/>
    <col min="13834" max="13834" width="5.625" style="8" customWidth="1"/>
    <col min="13835" max="13835" width="10.625" style="8" customWidth="1"/>
    <col min="13836" max="13836" width="6.625" style="8" customWidth="1"/>
    <col min="13837" max="13837" width="4.625" style="8" customWidth="1"/>
    <col min="13838" max="13839" width="2.625" style="8" customWidth="1"/>
    <col min="13840" max="13840" width="12.625" style="8" customWidth="1"/>
    <col min="13841" max="13841" width="3.625" style="8" customWidth="1"/>
    <col min="13842" max="13842" width="11.5" style="8" customWidth="1"/>
    <col min="13843" max="13846" width="10.625" style="8" customWidth="1"/>
    <col min="13847" max="13847" width="7.625" style="8" customWidth="1"/>
    <col min="13848" max="13952" width="8.625" style="8" customWidth="1"/>
    <col min="13953" max="14080" width="9" style="8"/>
    <col min="14081" max="14081" width="2.625" style="8" customWidth="1"/>
    <col min="14082" max="14082" width="4.5" style="8" customWidth="1"/>
    <col min="14083" max="14083" width="10.625" style="8" customWidth="1"/>
    <col min="14084" max="14084" width="10.5" style="8" customWidth="1"/>
    <col min="14085" max="14085" width="16.625" style="8" customWidth="1"/>
    <col min="14086" max="14086" width="4.625" style="8" customWidth="1"/>
    <col min="14087" max="14088" width="2.625" style="8" customWidth="1"/>
    <col min="14089" max="14089" width="5.125" style="8" customWidth="1"/>
    <col min="14090" max="14090" width="5.625" style="8" customWidth="1"/>
    <col min="14091" max="14091" width="10.625" style="8" customWidth="1"/>
    <col min="14092" max="14092" width="6.625" style="8" customWidth="1"/>
    <col min="14093" max="14093" width="4.625" style="8" customWidth="1"/>
    <col min="14094" max="14095" width="2.625" style="8" customWidth="1"/>
    <col min="14096" max="14096" width="12.625" style="8" customWidth="1"/>
    <col min="14097" max="14097" width="3.625" style="8" customWidth="1"/>
    <col min="14098" max="14098" width="11.5" style="8" customWidth="1"/>
    <col min="14099" max="14102" width="10.625" style="8" customWidth="1"/>
    <col min="14103" max="14103" width="7.625" style="8" customWidth="1"/>
    <col min="14104" max="14208" width="8.625" style="8" customWidth="1"/>
    <col min="14209" max="14336" width="9" style="8"/>
    <col min="14337" max="14337" width="2.625" style="8" customWidth="1"/>
    <col min="14338" max="14338" width="4.5" style="8" customWidth="1"/>
    <col min="14339" max="14339" width="10.625" style="8" customWidth="1"/>
    <col min="14340" max="14340" width="10.5" style="8" customWidth="1"/>
    <col min="14341" max="14341" width="16.625" style="8" customWidth="1"/>
    <col min="14342" max="14342" width="4.625" style="8" customWidth="1"/>
    <col min="14343" max="14344" width="2.625" style="8" customWidth="1"/>
    <col min="14345" max="14345" width="5.125" style="8" customWidth="1"/>
    <col min="14346" max="14346" width="5.625" style="8" customWidth="1"/>
    <col min="14347" max="14347" width="10.625" style="8" customWidth="1"/>
    <col min="14348" max="14348" width="6.625" style="8" customWidth="1"/>
    <col min="14349" max="14349" width="4.625" style="8" customWidth="1"/>
    <col min="14350" max="14351" width="2.625" style="8" customWidth="1"/>
    <col min="14352" max="14352" width="12.625" style="8" customWidth="1"/>
    <col min="14353" max="14353" width="3.625" style="8" customWidth="1"/>
    <col min="14354" max="14354" width="11.5" style="8" customWidth="1"/>
    <col min="14355" max="14358" width="10.625" style="8" customWidth="1"/>
    <col min="14359" max="14359" width="7.625" style="8" customWidth="1"/>
    <col min="14360" max="14464" width="8.625" style="8" customWidth="1"/>
    <col min="14465" max="14592" width="9" style="8"/>
    <col min="14593" max="14593" width="2.625" style="8" customWidth="1"/>
    <col min="14594" max="14594" width="4.5" style="8" customWidth="1"/>
    <col min="14595" max="14595" width="10.625" style="8" customWidth="1"/>
    <col min="14596" max="14596" width="10.5" style="8" customWidth="1"/>
    <col min="14597" max="14597" width="16.625" style="8" customWidth="1"/>
    <col min="14598" max="14598" width="4.625" style="8" customWidth="1"/>
    <col min="14599" max="14600" width="2.625" style="8" customWidth="1"/>
    <col min="14601" max="14601" width="5.125" style="8" customWidth="1"/>
    <col min="14602" max="14602" width="5.625" style="8" customWidth="1"/>
    <col min="14603" max="14603" width="10.625" style="8" customWidth="1"/>
    <col min="14604" max="14604" width="6.625" style="8" customWidth="1"/>
    <col min="14605" max="14605" width="4.625" style="8" customWidth="1"/>
    <col min="14606" max="14607" width="2.625" style="8" customWidth="1"/>
    <col min="14608" max="14608" width="12.625" style="8" customWidth="1"/>
    <col min="14609" max="14609" width="3.625" style="8" customWidth="1"/>
    <col min="14610" max="14610" width="11.5" style="8" customWidth="1"/>
    <col min="14611" max="14614" width="10.625" style="8" customWidth="1"/>
    <col min="14615" max="14615" width="7.625" style="8" customWidth="1"/>
    <col min="14616" max="14720" width="8.625" style="8" customWidth="1"/>
    <col min="14721" max="14848" width="9" style="8"/>
    <col min="14849" max="14849" width="2.625" style="8" customWidth="1"/>
    <col min="14850" max="14850" width="4.5" style="8" customWidth="1"/>
    <col min="14851" max="14851" width="10.625" style="8" customWidth="1"/>
    <col min="14852" max="14852" width="10.5" style="8" customWidth="1"/>
    <col min="14853" max="14853" width="16.625" style="8" customWidth="1"/>
    <col min="14854" max="14854" width="4.625" style="8" customWidth="1"/>
    <col min="14855" max="14856" width="2.625" style="8" customWidth="1"/>
    <col min="14857" max="14857" width="5.125" style="8" customWidth="1"/>
    <col min="14858" max="14858" width="5.625" style="8" customWidth="1"/>
    <col min="14859" max="14859" width="10.625" style="8" customWidth="1"/>
    <col min="14860" max="14860" width="6.625" style="8" customWidth="1"/>
    <col min="14861" max="14861" width="4.625" style="8" customWidth="1"/>
    <col min="14862" max="14863" width="2.625" style="8" customWidth="1"/>
    <col min="14864" max="14864" width="12.625" style="8" customWidth="1"/>
    <col min="14865" max="14865" width="3.625" style="8" customWidth="1"/>
    <col min="14866" max="14866" width="11.5" style="8" customWidth="1"/>
    <col min="14867" max="14870" width="10.625" style="8" customWidth="1"/>
    <col min="14871" max="14871" width="7.625" style="8" customWidth="1"/>
    <col min="14872" max="14976" width="8.625" style="8" customWidth="1"/>
    <col min="14977" max="15104" width="9" style="8"/>
    <col min="15105" max="15105" width="2.625" style="8" customWidth="1"/>
    <col min="15106" max="15106" width="4.5" style="8" customWidth="1"/>
    <col min="15107" max="15107" width="10.625" style="8" customWidth="1"/>
    <col min="15108" max="15108" width="10.5" style="8" customWidth="1"/>
    <col min="15109" max="15109" width="16.625" style="8" customWidth="1"/>
    <col min="15110" max="15110" width="4.625" style="8" customWidth="1"/>
    <col min="15111" max="15112" width="2.625" style="8" customWidth="1"/>
    <col min="15113" max="15113" width="5.125" style="8" customWidth="1"/>
    <col min="15114" max="15114" width="5.625" style="8" customWidth="1"/>
    <col min="15115" max="15115" width="10.625" style="8" customWidth="1"/>
    <col min="15116" max="15116" width="6.625" style="8" customWidth="1"/>
    <col min="15117" max="15117" width="4.625" style="8" customWidth="1"/>
    <col min="15118" max="15119" width="2.625" style="8" customWidth="1"/>
    <col min="15120" max="15120" width="12.625" style="8" customWidth="1"/>
    <col min="15121" max="15121" width="3.625" style="8" customWidth="1"/>
    <col min="15122" max="15122" width="11.5" style="8" customWidth="1"/>
    <col min="15123" max="15126" width="10.625" style="8" customWidth="1"/>
    <col min="15127" max="15127" width="7.625" style="8" customWidth="1"/>
    <col min="15128" max="15232" width="8.625" style="8" customWidth="1"/>
    <col min="15233" max="15360" width="9" style="8"/>
    <col min="15361" max="15361" width="2.625" style="8" customWidth="1"/>
    <col min="15362" max="15362" width="4.5" style="8" customWidth="1"/>
    <col min="15363" max="15363" width="10.625" style="8" customWidth="1"/>
    <col min="15364" max="15364" width="10.5" style="8" customWidth="1"/>
    <col min="15365" max="15365" width="16.625" style="8" customWidth="1"/>
    <col min="15366" max="15366" width="4.625" style="8" customWidth="1"/>
    <col min="15367" max="15368" width="2.625" style="8" customWidth="1"/>
    <col min="15369" max="15369" width="5.125" style="8" customWidth="1"/>
    <col min="15370" max="15370" width="5.625" style="8" customWidth="1"/>
    <col min="15371" max="15371" width="10.625" style="8" customWidth="1"/>
    <col min="15372" max="15372" width="6.625" style="8" customWidth="1"/>
    <col min="15373" max="15373" width="4.625" style="8" customWidth="1"/>
    <col min="15374" max="15375" width="2.625" style="8" customWidth="1"/>
    <col min="15376" max="15376" width="12.625" style="8" customWidth="1"/>
    <col min="15377" max="15377" width="3.625" style="8" customWidth="1"/>
    <col min="15378" max="15378" width="11.5" style="8" customWidth="1"/>
    <col min="15379" max="15382" width="10.625" style="8" customWidth="1"/>
    <col min="15383" max="15383" width="7.625" style="8" customWidth="1"/>
    <col min="15384" max="15488" width="8.625" style="8" customWidth="1"/>
    <col min="15489" max="15616" width="9" style="8"/>
    <col min="15617" max="15617" width="2.625" style="8" customWidth="1"/>
    <col min="15618" max="15618" width="4.5" style="8" customWidth="1"/>
    <col min="15619" max="15619" width="10.625" style="8" customWidth="1"/>
    <col min="15620" max="15620" width="10.5" style="8" customWidth="1"/>
    <col min="15621" max="15621" width="16.625" style="8" customWidth="1"/>
    <col min="15622" max="15622" width="4.625" style="8" customWidth="1"/>
    <col min="15623" max="15624" width="2.625" style="8" customWidth="1"/>
    <col min="15625" max="15625" width="5.125" style="8" customWidth="1"/>
    <col min="15626" max="15626" width="5.625" style="8" customWidth="1"/>
    <col min="15627" max="15627" width="10.625" style="8" customWidth="1"/>
    <col min="15628" max="15628" width="6.625" style="8" customWidth="1"/>
    <col min="15629" max="15629" width="4.625" style="8" customWidth="1"/>
    <col min="15630" max="15631" width="2.625" style="8" customWidth="1"/>
    <col min="15632" max="15632" width="12.625" style="8" customWidth="1"/>
    <col min="15633" max="15633" width="3.625" style="8" customWidth="1"/>
    <col min="15634" max="15634" width="11.5" style="8" customWidth="1"/>
    <col min="15635" max="15638" width="10.625" style="8" customWidth="1"/>
    <col min="15639" max="15639" width="7.625" style="8" customWidth="1"/>
    <col min="15640" max="15744" width="8.625" style="8" customWidth="1"/>
    <col min="15745" max="15872" width="9" style="8"/>
    <col min="15873" max="15873" width="2.625" style="8" customWidth="1"/>
    <col min="15874" max="15874" width="4.5" style="8" customWidth="1"/>
    <col min="15875" max="15875" width="10.625" style="8" customWidth="1"/>
    <col min="15876" max="15876" width="10.5" style="8" customWidth="1"/>
    <col min="15877" max="15877" width="16.625" style="8" customWidth="1"/>
    <col min="15878" max="15878" width="4.625" style="8" customWidth="1"/>
    <col min="15879" max="15880" width="2.625" style="8" customWidth="1"/>
    <col min="15881" max="15881" width="5.125" style="8" customWidth="1"/>
    <col min="15882" max="15882" width="5.625" style="8" customWidth="1"/>
    <col min="15883" max="15883" width="10.625" style="8" customWidth="1"/>
    <col min="15884" max="15884" width="6.625" style="8" customWidth="1"/>
    <col min="15885" max="15885" width="4.625" style="8" customWidth="1"/>
    <col min="15886" max="15887" width="2.625" style="8" customWidth="1"/>
    <col min="15888" max="15888" width="12.625" style="8" customWidth="1"/>
    <col min="15889" max="15889" width="3.625" style="8" customWidth="1"/>
    <col min="15890" max="15890" width="11.5" style="8" customWidth="1"/>
    <col min="15891" max="15894" width="10.625" style="8" customWidth="1"/>
    <col min="15895" max="15895" width="7.625" style="8" customWidth="1"/>
    <col min="15896" max="16000" width="8.625" style="8" customWidth="1"/>
    <col min="16001" max="16128" width="9" style="8"/>
    <col min="16129" max="16129" width="2.625" style="8" customWidth="1"/>
    <col min="16130" max="16130" width="4.5" style="8" customWidth="1"/>
    <col min="16131" max="16131" width="10.625" style="8" customWidth="1"/>
    <col min="16132" max="16132" width="10.5" style="8" customWidth="1"/>
    <col min="16133" max="16133" width="16.625" style="8" customWidth="1"/>
    <col min="16134" max="16134" width="4.625" style="8" customWidth="1"/>
    <col min="16135" max="16136" width="2.625" style="8" customWidth="1"/>
    <col min="16137" max="16137" width="5.125" style="8" customWidth="1"/>
    <col min="16138" max="16138" width="5.625" style="8" customWidth="1"/>
    <col min="16139" max="16139" width="10.625" style="8" customWidth="1"/>
    <col min="16140" max="16140" width="6.625" style="8" customWidth="1"/>
    <col min="16141" max="16141" width="4.625" style="8" customWidth="1"/>
    <col min="16142" max="16143" width="2.625" style="8" customWidth="1"/>
    <col min="16144" max="16144" width="12.625" style="8" customWidth="1"/>
    <col min="16145" max="16145" width="3.625" style="8" customWidth="1"/>
    <col min="16146" max="16146" width="11.5" style="8" customWidth="1"/>
    <col min="16147" max="16150" width="10.625" style="8" customWidth="1"/>
    <col min="16151" max="16151" width="7.625" style="8" customWidth="1"/>
    <col min="16152" max="16256" width="8.625" style="8" customWidth="1"/>
    <col min="16257" max="16384" width="9" style="8"/>
  </cols>
  <sheetData>
    <row r="1" spans="1:50" s="1" customFormat="1" ht="22.5" hidden="1" customHeight="1" x14ac:dyDescent="0.2">
      <c r="B1" s="2" t="s">
        <v>0</v>
      </c>
      <c r="C1" s="2"/>
      <c r="D1" s="2"/>
      <c r="E1" s="2"/>
      <c r="F1" s="2"/>
      <c r="G1" s="2"/>
      <c r="H1" s="2"/>
      <c r="I1" s="2"/>
      <c r="J1" s="2"/>
      <c r="K1" s="2"/>
      <c r="L1" s="2"/>
      <c r="M1" s="2"/>
      <c r="N1" s="2"/>
      <c r="O1" s="2"/>
      <c r="P1" s="2"/>
      <c r="Q1" s="2"/>
      <c r="R1" s="2"/>
      <c r="S1" s="2"/>
      <c r="T1" s="2"/>
      <c r="U1" s="2"/>
      <c r="V1" s="2"/>
      <c r="W1" s="2"/>
      <c r="X1" s="3"/>
      <c r="Y1" s="4"/>
      <c r="Z1" s="4"/>
      <c r="AA1" s="4"/>
      <c r="AB1" s="4"/>
    </row>
    <row r="2" spans="1:50" s="1" customFormat="1" ht="14.1" hidden="1" customHeight="1" x14ac:dyDescent="0.2">
      <c r="B2" s="5"/>
      <c r="C2" s="5"/>
      <c r="D2" s="5"/>
      <c r="E2" s="5"/>
      <c r="F2" s="5"/>
      <c r="G2" s="5"/>
      <c r="H2" s="5"/>
      <c r="I2" s="5"/>
      <c r="J2" s="5"/>
      <c r="K2" s="5"/>
      <c r="L2" s="5"/>
      <c r="M2" s="5"/>
      <c r="N2" s="5"/>
      <c r="O2" s="5"/>
      <c r="P2" s="5"/>
      <c r="Q2" s="5"/>
      <c r="R2" s="5"/>
      <c r="S2" s="5"/>
      <c r="T2" s="5"/>
      <c r="U2" s="5"/>
      <c r="V2" s="5"/>
      <c r="W2" s="6"/>
      <c r="X2" s="7"/>
      <c r="Y2" s="4"/>
      <c r="Z2" s="4"/>
      <c r="AA2" s="4"/>
      <c r="AB2" s="4"/>
      <c r="AC2" s="7"/>
      <c r="AD2" s="7"/>
      <c r="AE2" s="7"/>
      <c r="AF2" s="7"/>
      <c r="AG2" s="7"/>
      <c r="AH2" s="7"/>
      <c r="AI2" s="7"/>
      <c r="AJ2" s="7"/>
      <c r="AK2" s="7"/>
      <c r="AL2" s="7"/>
      <c r="AM2" s="7"/>
      <c r="AN2" s="7"/>
      <c r="AO2" s="7"/>
      <c r="AP2" s="7"/>
      <c r="AQ2" s="7"/>
      <c r="AR2" s="7"/>
      <c r="AS2" s="7"/>
      <c r="AT2" s="7"/>
      <c r="AU2" s="7"/>
      <c r="AV2" s="7"/>
      <c r="AW2" s="7"/>
      <c r="AX2" s="7"/>
    </row>
    <row r="3" spans="1:50" ht="14.1" hidden="1" customHeight="1" thickBot="1" x14ac:dyDescent="0.2">
      <c r="B3" s="9"/>
      <c r="C3" s="9"/>
      <c r="D3" s="9"/>
      <c r="E3" s="9"/>
      <c r="F3" s="9"/>
      <c r="G3" s="9"/>
      <c r="H3" s="9"/>
      <c r="I3" s="9"/>
      <c r="J3" s="9"/>
      <c r="K3" s="9"/>
      <c r="L3" s="9"/>
      <c r="M3" s="9"/>
      <c r="X3" s="11"/>
      <c r="Y3" s="12"/>
      <c r="Z3" s="12"/>
      <c r="AA3" s="12"/>
      <c r="AB3" s="12"/>
      <c r="AC3" s="11"/>
      <c r="AD3" s="11"/>
      <c r="AE3" s="11"/>
      <c r="AF3" s="11"/>
      <c r="AG3" s="11"/>
      <c r="AH3" s="11"/>
      <c r="AI3" s="11"/>
      <c r="AJ3" s="11"/>
      <c r="AK3" s="11"/>
      <c r="AL3" s="11"/>
      <c r="AM3" s="11"/>
      <c r="AN3" s="11"/>
      <c r="AO3" s="11"/>
      <c r="AP3" s="11"/>
      <c r="AQ3" s="11"/>
      <c r="AR3" s="11"/>
      <c r="AS3" s="11"/>
      <c r="AT3" s="11"/>
      <c r="AU3" s="11"/>
      <c r="AV3" s="11"/>
      <c r="AW3" s="11"/>
      <c r="AX3" s="11"/>
    </row>
    <row r="4" spans="1:50" ht="15" hidden="1" customHeight="1" x14ac:dyDescent="0.15">
      <c r="A4" s="13"/>
      <c r="B4" s="14" t="s">
        <v>1</v>
      </c>
      <c r="C4" s="15" t="s">
        <v>2</v>
      </c>
      <c r="D4" s="16" t="s">
        <v>3</v>
      </c>
      <c r="E4" s="17" t="str">
        <f>IF(P73="　","　",IF(P73="2ヶ月","0㎥～20㎥",IF(P73="1.5ヶ月","0㎥～15㎥",IF(P73="1ヶ月","0㎥～10㎥",IF(P73="0.5ヶ月","0㎥～5㎥")))))</f>
        <v>0㎥～20㎥</v>
      </c>
      <c r="F4" s="18"/>
      <c r="G4" s="19"/>
      <c r="H4" s="20"/>
      <c r="I4" s="21">
        <f>IF(P73="　",0,IF(P73="2ヶ月",MAX(20),IF(P73="1.5ヶ月",MAX(15),IF(P73="1ヶ月",MAX(10),IF(P73="0.5ヶ月",MAX(5))))))</f>
        <v>20</v>
      </c>
      <c r="J4" s="19" t="s">
        <v>4</v>
      </c>
      <c r="K4" s="22">
        <f>IF(P79="　",0,IF(P79="一般用",Y8,IF(P79="業務用",Y9,IF(P79="臨時用",Y10))))</f>
        <v>2180</v>
      </c>
      <c r="L4" s="23" t="s">
        <v>5</v>
      </c>
      <c r="M4" s="24"/>
      <c r="X4" s="11"/>
      <c r="Y4" s="25" t="s">
        <v>6</v>
      </c>
      <c r="Z4" s="26">
        <v>2180</v>
      </c>
      <c r="AA4" s="12">
        <f>Z4*3/4</f>
        <v>1635</v>
      </c>
      <c r="AB4" s="12">
        <f>Z4*2/4</f>
        <v>1090</v>
      </c>
      <c r="AC4" s="11">
        <f>Z4*1/4</f>
        <v>545</v>
      </c>
      <c r="AD4" s="11"/>
      <c r="AE4" s="11"/>
      <c r="AF4" s="27" t="s">
        <v>7</v>
      </c>
      <c r="AG4" s="11">
        <v>160</v>
      </c>
      <c r="AH4" s="11">
        <f t="shared" ref="AH4:AH10" si="0">AG4*3/4</f>
        <v>120</v>
      </c>
      <c r="AI4" s="11">
        <f t="shared" ref="AI4:AI10" si="1">AG4*2/4</f>
        <v>80</v>
      </c>
      <c r="AJ4" s="11">
        <f t="shared" ref="AJ4:AJ10" si="2">AG4/4</f>
        <v>40</v>
      </c>
      <c r="AK4" s="11"/>
      <c r="AL4" s="11">
        <f>IF(OR(P85="　",P73="　"),0,IF(AND(P85=13,P73="2ヶ月"),AG4,IF(AND(P85=13,P73="1.5ヶ月"),AH4,IF(AND(P85=13,P73="1ヶ月"),AI4,IF(AND(P85=13,P73="0.5ヶ月"),AJ4)))))</f>
        <v>160</v>
      </c>
      <c r="AM4" s="11"/>
      <c r="AN4" s="11"/>
      <c r="AO4" s="11"/>
      <c r="AP4" s="11"/>
      <c r="AQ4" s="11"/>
      <c r="AR4" s="11"/>
      <c r="AS4" s="11"/>
      <c r="AT4" s="11"/>
      <c r="AU4" s="11"/>
      <c r="AV4" s="11"/>
      <c r="AW4" s="11"/>
      <c r="AX4" s="11"/>
    </row>
    <row r="5" spans="1:50" ht="15" hidden="1" customHeight="1" x14ac:dyDescent="0.15">
      <c r="A5" s="13"/>
      <c r="B5" s="28"/>
      <c r="C5" s="29"/>
      <c r="D5" s="30" t="s">
        <v>8</v>
      </c>
      <c r="E5" s="31" t="str">
        <f>IF(P73="　","　",IF(P73="2ヶ月","21㎥～40㎥",IF(P73="1.5ヶ月","16㎥～30㎥",IF(P73="1ヶ月","11㎥～20㎥",IF(P73="0.5ヶ月","6㎥～10㎥")))))</f>
        <v>21㎥～40㎥</v>
      </c>
      <c r="F5" s="32">
        <f>IF(P79="　",0,IF(P79="一般用",135,IF(P79="業務用",155,IF(P79="臨時用",230))))</f>
        <v>135</v>
      </c>
      <c r="G5" s="33" t="s">
        <v>9</v>
      </c>
      <c r="H5" s="34" t="s">
        <v>10</v>
      </c>
      <c r="I5" s="35">
        <f>IF(P73="　",0,IF(P73="2ヶ月",Y22,IF(P73="1.5ヶ月",Z22,IF(P73="1ヶ月",AA22,IF(P73="0.5ヶ月",AB22)))))</f>
        <v>20</v>
      </c>
      <c r="J5" s="36" t="s">
        <v>11</v>
      </c>
      <c r="K5" s="37">
        <f>F5*I5</f>
        <v>2700</v>
      </c>
      <c r="L5" s="38" t="s">
        <v>9</v>
      </c>
      <c r="M5" s="39"/>
      <c r="X5" s="11"/>
      <c r="Y5" s="12" t="s">
        <v>12</v>
      </c>
      <c r="Z5" s="26">
        <v>2600</v>
      </c>
      <c r="AA5" s="12">
        <f>Z5*3/4</f>
        <v>1950</v>
      </c>
      <c r="AB5" s="12">
        <f>Z5*2/4</f>
        <v>1300</v>
      </c>
      <c r="AC5" s="11">
        <f>Z5*1/4</f>
        <v>650</v>
      </c>
      <c r="AD5" s="11"/>
      <c r="AE5" s="11"/>
      <c r="AF5" s="27" t="s">
        <v>13</v>
      </c>
      <c r="AG5" s="11">
        <v>300</v>
      </c>
      <c r="AH5" s="11">
        <f t="shared" si="0"/>
        <v>225</v>
      </c>
      <c r="AI5" s="11">
        <f t="shared" si="1"/>
        <v>150</v>
      </c>
      <c r="AJ5" s="11">
        <f t="shared" si="2"/>
        <v>75</v>
      </c>
      <c r="AK5" s="11"/>
      <c r="AL5" s="11" t="b">
        <f>IF(OR(P85="　",P73="　"),0,IF(AND(P85=20,P73="2ヶ月"),AG5,IF(AND(P85=20,P73="1.5ヶ月"),AH5,IF(AND(P85=20,P73="1ヶ月"),AI5,IF(AND(P85=20,P73="0.5ヶ月"),AJ5)))))</f>
        <v>0</v>
      </c>
      <c r="AM5" s="11"/>
      <c r="AN5" s="11"/>
      <c r="AO5" s="11"/>
      <c r="AP5" s="11"/>
      <c r="AQ5" s="11"/>
      <c r="AR5" s="11"/>
      <c r="AS5" s="11"/>
      <c r="AT5" s="11"/>
      <c r="AU5" s="11"/>
      <c r="AV5" s="11"/>
      <c r="AW5" s="11"/>
      <c r="AX5" s="11"/>
    </row>
    <row r="6" spans="1:50" ht="15" hidden="1" customHeight="1" x14ac:dyDescent="0.15">
      <c r="A6" s="13"/>
      <c r="B6" s="28"/>
      <c r="C6" s="29"/>
      <c r="D6" s="29"/>
      <c r="E6" s="40" t="str">
        <f>IF(P73="　","　",IF(P73="2ヶ月","41㎥～100㎥",IF(P73="1.5ヶ月","31㎥～75㎥",IF(P73="1ヶ月","21㎥～50㎥",IF(P73="0.5ヶ月","11㎥～25㎥")))))</f>
        <v>41㎥～100㎥</v>
      </c>
      <c r="F6" s="41">
        <f>IF(P79="　",0,IF(P79="一般用",150,IF(P79="業務用",170,IF(P79="臨時用",250))))</f>
        <v>150</v>
      </c>
      <c r="G6" s="42" t="s">
        <v>9</v>
      </c>
      <c r="H6" s="43" t="s">
        <v>14</v>
      </c>
      <c r="I6" s="44">
        <f>IF(P73="　",0,IF(P73="2ヶ月",Y23,IF(P73="1.5ヶ月",Z23,IF(P73="1ヶ月",AA23,IF(P73="0.5ヶ月",AB23)))))</f>
        <v>0</v>
      </c>
      <c r="J6" s="45" t="s">
        <v>11</v>
      </c>
      <c r="K6" s="46">
        <f>F6*I6</f>
        <v>0</v>
      </c>
      <c r="L6" s="47" t="s">
        <v>9</v>
      </c>
      <c r="M6" s="39"/>
      <c r="X6" s="11"/>
      <c r="Y6" s="12" t="s">
        <v>15</v>
      </c>
      <c r="Z6" s="26">
        <v>4000</v>
      </c>
      <c r="AA6" s="12">
        <f>Z6*3/4</f>
        <v>3000</v>
      </c>
      <c r="AB6" s="12">
        <f>Z6*2/4</f>
        <v>2000</v>
      </c>
      <c r="AC6" s="11">
        <f>Z6*1/4</f>
        <v>1000</v>
      </c>
      <c r="AD6" s="11"/>
      <c r="AE6" s="11"/>
      <c r="AF6" s="27" t="s">
        <v>16</v>
      </c>
      <c r="AG6" s="11">
        <v>320</v>
      </c>
      <c r="AH6" s="11">
        <f t="shared" si="0"/>
        <v>240</v>
      </c>
      <c r="AI6" s="11">
        <f t="shared" si="1"/>
        <v>160</v>
      </c>
      <c r="AJ6" s="11">
        <f t="shared" si="2"/>
        <v>80</v>
      </c>
      <c r="AK6" s="11"/>
      <c r="AL6" s="11" t="b">
        <f>IF(OR(P85="　",P73="　"),0,IF(AND(P85=25,P73="2ヶ月"),AG6,IF(AND(P85=25,P73="1.5ヶ月"),AH6,IF(AND(P85=25,P73="1ヶ月"),AI6,IF(AND(P85=25,P73="0.5ヶ月"),AJ6)))))</f>
        <v>0</v>
      </c>
      <c r="AM6" s="11"/>
      <c r="AN6" s="11"/>
      <c r="AO6" s="11"/>
      <c r="AP6" s="11"/>
      <c r="AQ6" s="11"/>
      <c r="AR6" s="11"/>
      <c r="AS6" s="11"/>
      <c r="AT6" s="11"/>
      <c r="AU6" s="11"/>
      <c r="AV6" s="11"/>
      <c r="AW6" s="11"/>
      <c r="AX6" s="11"/>
    </row>
    <row r="7" spans="1:50" ht="15" hidden="1" customHeight="1" x14ac:dyDescent="0.15">
      <c r="A7" s="13"/>
      <c r="B7" s="28"/>
      <c r="C7" s="29"/>
      <c r="D7" s="29"/>
      <c r="E7" s="40" t="str">
        <f>IF(P73="　","　",IF(P73="2ヶ月","101㎥～200㎥",IF(P73="1.5ヶ月","76㎥～150㎥",IF(P73="1ヶ月","51㎥～100㎥",IF(P73="0.5ヶ月","26㎥～50㎥")))))</f>
        <v>101㎥～200㎥</v>
      </c>
      <c r="F7" s="41">
        <f>IF(P79="　",0,IF(P79="一般用",170,IF(P79="業務用",185,IF(P79="臨時用",280))))</f>
        <v>170</v>
      </c>
      <c r="G7" s="42" t="s">
        <v>9</v>
      </c>
      <c r="H7" s="43" t="s">
        <v>10</v>
      </c>
      <c r="I7" s="48" t="str">
        <f>IF(P73="　",0,IF(P73="2ヶ月",Y24,IF(P73="1.5ヶ月",Z24,IF(P73="1ヶ月",AA24,IF(P73="0.5ヶ月",AB24)))))</f>
        <v>0</v>
      </c>
      <c r="J7" s="45" t="s">
        <v>17</v>
      </c>
      <c r="K7" s="46">
        <f>F7*I7</f>
        <v>0</v>
      </c>
      <c r="L7" s="47" t="s">
        <v>9</v>
      </c>
      <c r="M7" s="39"/>
      <c r="X7" s="49"/>
      <c r="Y7" s="50"/>
      <c r="Z7" s="12"/>
      <c r="AA7" s="12"/>
      <c r="AB7" s="12"/>
      <c r="AC7" s="11"/>
      <c r="AD7" s="11"/>
      <c r="AE7" s="11"/>
      <c r="AF7" s="27" t="s">
        <v>18</v>
      </c>
      <c r="AG7" s="11">
        <v>620</v>
      </c>
      <c r="AH7" s="11">
        <f t="shared" si="0"/>
        <v>465</v>
      </c>
      <c r="AI7" s="11">
        <f t="shared" si="1"/>
        <v>310</v>
      </c>
      <c r="AJ7" s="11">
        <f t="shared" si="2"/>
        <v>155</v>
      </c>
      <c r="AK7" s="11"/>
      <c r="AL7" s="11" t="b">
        <f>IF(OR(P85="　",P73="　"),0,IF(AND(P85=40,P73="2ヶ月"),AG7,IF(AND(P85=40,P73="1.5ヶ月"),AH7,IF(AND(P85=40,P73="1ヶ月"),AI7,IF(AND(P85=40,P73="0.5ヶ月"),AJ7)))))</f>
        <v>0</v>
      </c>
      <c r="AM7" s="11"/>
      <c r="AN7" s="11"/>
      <c r="AO7" s="11"/>
      <c r="AP7" s="11"/>
      <c r="AQ7" s="11"/>
      <c r="AR7" s="11"/>
      <c r="AS7" s="11"/>
      <c r="AT7" s="11"/>
      <c r="AU7" s="11"/>
      <c r="AV7" s="11"/>
      <c r="AW7" s="11"/>
      <c r="AX7" s="11"/>
    </row>
    <row r="8" spans="1:50" ht="15" hidden="1" customHeight="1" x14ac:dyDescent="0.15">
      <c r="A8" s="13"/>
      <c r="B8" s="28"/>
      <c r="C8" s="29"/>
      <c r="D8" s="29"/>
      <c r="E8" s="40" t="str">
        <f>IF(P73="　","　",IF(P73="2ヶ月","201㎥～",IF(P73="1.5ヶ月","151㎥～",IF(P73="1ヶ月","101㎥～",IF(P73="0.5ヶ月","51㎥～")))))</f>
        <v>201㎥～</v>
      </c>
      <c r="F8" s="51">
        <f>IF(P79="　",0,IF(P79="一般用",180,IF(P79="業務用",195,IF(P79="臨時用",300))))</f>
        <v>180</v>
      </c>
      <c r="G8" s="52" t="s">
        <v>9</v>
      </c>
      <c r="H8" s="53" t="s">
        <v>14</v>
      </c>
      <c r="I8" s="44" t="str">
        <f>IF(P73="　",0,IF(P73="2ヶ月",Y25,IF(P73="1.5ヶ月",Z25,IF(P73="1ヶ月",AA25,IF(P73="0.5ヶ月",AB25)))))</f>
        <v>0</v>
      </c>
      <c r="J8" s="54" t="s">
        <v>17</v>
      </c>
      <c r="K8" s="55">
        <f>F8*I8</f>
        <v>0</v>
      </c>
      <c r="L8" s="56" t="s">
        <v>9</v>
      </c>
      <c r="M8" s="39"/>
      <c r="X8" s="11"/>
      <c r="Y8" s="12">
        <f>IF(OR(P79="　",P73="　"),0,IF(AND(P79="一般用",P73="2ヶ月"),Z4,IF(AND(P79="一般用",P73="1.5ヶ月"),AA4,IF(AND(P79="一般用",P73="1ヶ月"),AB4,IF(AND(P79="一般用",P73="0.5ヶ月"),AC4)))))</f>
        <v>2180</v>
      </c>
      <c r="Z8" s="12"/>
      <c r="AA8" s="12"/>
      <c r="AB8" s="12"/>
      <c r="AC8" s="11"/>
      <c r="AD8" s="11"/>
      <c r="AE8" s="11"/>
      <c r="AF8" s="27" t="s">
        <v>19</v>
      </c>
      <c r="AG8" s="11">
        <v>3300</v>
      </c>
      <c r="AH8" s="11">
        <f t="shared" si="0"/>
        <v>2475</v>
      </c>
      <c r="AI8" s="11">
        <f t="shared" si="1"/>
        <v>1650</v>
      </c>
      <c r="AJ8" s="11">
        <f t="shared" si="2"/>
        <v>825</v>
      </c>
      <c r="AK8" s="11"/>
      <c r="AL8" s="11" t="b">
        <f>IF(OR(P85="　",P73="　"),0,IF(AND(P85=50,P73="2ヶ月"),AG8,IF(AND(P85=50,P73="1.5ヶ月"),AH8,IF(AND(P85=50,P73="1ヶ月"),AI8,IF(AND(P85=50,P73="0.5ヶ月"),AJ8)))))</f>
        <v>0</v>
      </c>
      <c r="AM8" s="11"/>
      <c r="AN8" s="11"/>
      <c r="AO8" s="11"/>
      <c r="AP8" s="11"/>
      <c r="AQ8" s="11"/>
      <c r="AR8" s="11"/>
      <c r="AS8" s="11"/>
      <c r="AT8" s="11"/>
      <c r="AU8" s="11"/>
      <c r="AV8" s="11"/>
      <c r="AW8" s="11"/>
      <c r="AX8" s="11"/>
    </row>
    <row r="9" spans="1:50" ht="15" hidden="1" customHeight="1" x14ac:dyDescent="0.15">
      <c r="A9" s="13"/>
      <c r="B9" s="28"/>
      <c r="C9" s="29"/>
      <c r="D9" s="57"/>
      <c r="E9" s="58" t="s">
        <v>20</v>
      </c>
      <c r="F9" s="59"/>
      <c r="G9" s="60"/>
      <c r="H9" s="61"/>
      <c r="I9" s="62"/>
      <c r="J9" s="61"/>
      <c r="K9" s="63">
        <f>SUM(K5:K8)</f>
        <v>2700</v>
      </c>
      <c r="L9" s="64" t="s">
        <v>21</v>
      </c>
      <c r="M9" s="24"/>
      <c r="X9" s="11"/>
      <c r="Y9" s="12" t="b">
        <f>IF(OR(P79="　",P73="　"),0,IF(AND(P79="業務用",P73="2ヶ月"),Z5,IF(AND(P79="業務用",P73="1.5ヶ月"),AA5,IF(AND(P79="業務用",P73="1ヶ月"),AB5,IF(AND(P79="業務用",P73="0.5ヶ月"),AC5)))))</f>
        <v>0</v>
      </c>
      <c r="Z9" s="12"/>
      <c r="AA9" s="12"/>
      <c r="AB9" s="12"/>
      <c r="AC9" s="11"/>
      <c r="AD9" s="11"/>
      <c r="AE9" s="11"/>
      <c r="AF9" s="27" t="s">
        <v>22</v>
      </c>
      <c r="AG9" s="11">
        <v>4300</v>
      </c>
      <c r="AH9" s="11">
        <f t="shared" si="0"/>
        <v>3225</v>
      </c>
      <c r="AI9" s="11">
        <f t="shared" si="1"/>
        <v>2150</v>
      </c>
      <c r="AJ9" s="11">
        <f t="shared" si="2"/>
        <v>1075</v>
      </c>
      <c r="AK9" s="11"/>
      <c r="AL9" s="11" t="b">
        <f>IF(OR(P85="　",P73="　"),0,IF(AND(P85=75,P73="2ヶ月"),AG9,IF(AND(P85=75,P73="1.5ヶ月"),AH9,IF(AND(P85=75,P73="1ヶ月"),AI9,IF(AND(P85=75,P73="0.5ヶ月"),AJ9)))))</f>
        <v>0</v>
      </c>
      <c r="AM9" s="11"/>
      <c r="AN9" s="11"/>
      <c r="AO9" s="11"/>
      <c r="AP9" s="11"/>
      <c r="AQ9" s="11"/>
      <c r="AR9" s="11"/>
      <c r="AS9" s="11"/>
      <c r="AT9" s="11"/>
      <c r="AU9" s="11"/>
      <c r="AV9" s="11"/>
      <c r="AW9" s="11"/>
      <c r="AX9" s="11"/>
    </row>
    <row r="10" spans="1:50" ht="15" hidden="1" customHeight="1" x14ac:dyDescent="0.15">
      <c r="A10" s="13"/>
      <c r="B10" s="28"/>
      <c r="C10" s="29"/>
      <c r="D10" s="65" t="s">
        <v>23</v>
      </c>
      <c r="E10" s="66"/>
      <c r="F10" s="67"/>
      <c r="G10" s="68"/>
      <c r="H10" s="69"/>
      <c r="I10" s="70"/>
      <c r="J10" s="71"/>
      <c r="K10" s="72">
        <f>ROUNDDOWN((K4+K9),-1)</f>
        <v>4880</v>
      </c>
      <c r="L10" s="73" t="s">
        <v>24</v>
      </c>
      <c r="M10" s="24"/>
      <c r="X10" s="11"/>
      <c r="Y10" s="12" t="b">
        <f>IF(OR(P79="　",P73="　"),0,IF(AND(P79="臨時用",P73="2ヶ月"),Z6,IF(AND(P79="臨時用",P73="1.5ヶ月"),AA6,IF(AND(P79="臨時用",P73="1ヶ月"),AB6,IF(AND(P79="臨時用",P73="0.5ヶ月"),AC6)))))</f>
        <v>0</v>
      </c>
      <c r="Z10" s="12"/>
      <c r="AA10" s="12"/>
      <c r="AB10" s="12"/>
      <c r="AC10" s="11"/>
      <c r="AD10" s="11"/>
      <c r="AE10" s="11"/>
      <c r="AF10" s="27" t="s">
        <v>25</v>
      </c>
      <c r="AG10" s="11">
        <v>5600</v>
      </c>
      <c r="AH10" s="11">
        <f t="shared" si="0"/>
        <v>4200</v>
      </c>
      <c r="AI10" s="11">
        <f t="shared" si="1"/>
        <v>2800</v>
      </c>
      <c r="AJ10" s="11">
        <f t="shared" si="2"/>
        <v>1400</v>
      </c>
      <c r="AK10" s="11"/>
      <c r="AL10" s="11" t="b">
        <f>IF(OR(P85="　",P73="　"),0,IF(AND(P85=100,P73="2ヶ月"),AG10,IF(AND(P85=100,P73="1.5ヶ月"),AH10,IF(AND(P85=100,P73="1ヶ月"),AI10,IF(AND(P85=100,P73="0.5ヶ月"),AJ10)))))</f>
        <v>0</v>
      </c>
      <c r="AM10" s="11"/>
      <c r="AN10" s="11"/>
      <c r="AO10" s="11"/>
      <c r="AP10" s="11"/>
      <c r="AQ10" s="11"/>
      <c r="AR10" s="11"/>
      <c r="AS10" s="11"/>
      <c r="AT10" s="11"/>
      <c r="AU10" s="11"/>
      <c r="AV10" s="11"/>
      <c r="AW10" s="11"/>
      <c r="AX10" s="11"/>
    </row>
    <row r="11" spans="1:50" ht="15" hidden="1" customHeight="1" x14ac:dyDescent="0.15">
      <c r="A11" s="13"/>
      <c r="B11" s="28"/>
      <c r="C11" s="29"/>
      <c r="D11" s="74" t="s">
        <v>26</v>
      </c>
      <c r="E11" s="75"/>
      <c r="F11" s="67"/>
      <c r="G11" s="68"/>
      <c r="H11" s="69"/>
      <c r="I11" s="70"/>
      <c r="J11" s="71"/>
      <c r="K11" s="72">
        <f>ROUNDDOWN(K10*0.1,0)</f>
        <v>488</v>
      </c>
      <c r="L11" s="73" t="s">
        <v>27</v>
      </c>
      <c r="M11" s="24"/>
      <c r="X11" s="11"/>
      <c r="Y11" s="12"/>
      <c r="Z11" s="12"/>
      <c r="AA11" s="12"/>
      <c r="AB11" s="12"/>
      <c r="AC11" s="11"/>
      <c r="AD11" s="11"/>
      <c r="AE11" s="11"/>
      <c r="AF11" s="11"/>
      <c r="AG11" s="11"/>
      <c r="AH11" s="11"/>
      <c r="AI11" s="11"/>
      <c r="AJ11" s="11"/>
      <c r="AK11" s="11"/>
      <c r="AL11" s="11"/>
      <c r="AM11" s="11"/>
      <c r="AN11" s="11"/>
      <c r="AO11" s="11"/>
      <c r="AP11" s="11"/>
      <c r="AQ11" s="11"/>
      <c r="AR11" s="11"/>
      <c r="AS11" s="11"/>
      <c r="AT11" s="11"/>
      <c r="AU11" s="11"/>
      <c r="AV11" s="11"/>
      <c r="AW11" s="11"/>
      <c r="AX11" s="11"/>
    </row>
    <row r="12" spans="1:50" ht="15" hidden="1" customHeight="1" thickBot="1" x14ac:dyDescent="0.2">
      <c r="A12" s="13"/>
      <c r="B12" s="28"/>
      <c r="C12" s="76"/>
      <c r="D12" s="77" t="s">
        <v>28</v>
      </c>
      <c r="E12" s="78"/>
      <c r="F12" s="79"/>
      <c r="G12" s="80"/>
      <c r="H12" s="81"/>
      <c r="I12" s="82"/>
      <c r="J12" s="83"/>
      <c r="K12" s="84">
        <f>K10+K11</f>
        <v>5368</v>
      </c>
      <c r="L12" s="85" t="s">
        <v>29</v>
      </c>
      <c r="M12" s="24"/>
      <c r="X12" s="11"/>
      <c r="Y12" s="50"/>
      <c r="Z12" s="12"/>
      <c r="AA12" s="12"/>
      <c r="AB12" s="12"/>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0" ht="15" hidden="1" customHeight="1" thickTop="1" x14ac:dyDescent="0.15">
      <c r="B13" s="86"/>
      <c r="C13" s="87" t="s">
        <v>30</v>
      </c>
      <c r="D13" s="88" t="s">
        <v>30</v>
      </c>
      <c r="E13" s="89"/>
      <c r="F13" s="59"/>
      <c r="G13" s="60"/>
      <c r="H13" s="90"/>
      <c r="I13" s="91">
        <f>P85</f>
        <v>13</v>
      </c>
      <c r="J13" s="92" t="s">
        <v>31</v>
      </c>
      <c r="K13" s="91">
        <f>IF(P85="　",0,IF(P85=13,AL4,IF(P85=20,AL5,IF(P85=25,AL6,IF(P85=40,AL7,IF(P85=50,AL8,IF(P85=75,AL9,IF(P85=100,AL10))))))))</f>
        <v>160</v>
      </c>
      <c r="L13" s="64" t="s">
        <v>32</v>
      </c>
      <c r="M13" s="24"/>
      <c r="X13" s="11"/>
      <c r="Y13" s="50"/>
      <c r="Z13" s="12"/>
      <c r="AA13" s="12"/>
      <c r="AB13" s="12"/>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1:50" ht="15" hidden="1" customHeight="1" x14ac:dyDescent="0.15">
      <c r="B14" s="86"/>
      <c r="C14" s="29"/>
      <c r="D14" s="93" t="s">
        <v>33</v>
      </c>
      <c r="E14" s="94"/>
      <c r="F14" s="95"/>
      <c r="G14" s="96"/>
      <c r="H14" s="69"/>
      <c r="I14" s="70"/>
      <c r="J14" s="97"/>
      <c r="K14" s="98">
        <f>ROUNDDOWN(K13*0.1,0)</f>
        <v>16</v>
      </c>
      <c r="L14" s="73" t="s">
        <v>34</v>
      </c>
      <c r="M14" s="24"/>
      <c r="X14" s="11"/>
      <c r="Y14" s="12"/>
      <c r="Z14" s="12"/>
      <c r="AA14" s="12"/>
      <c r="AB14" s="12"/>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0" ht="15" hidden="1" customHeight="1" thickBot="1" x14ac:dyDescent="0.2">
      <c r="B15" s="86"/>
      <c r="C15" s="99"/>
      <c r="D15" s="100" t="s">
        <v>35</v>
      </c>
      <c r="E15" s="101"/>
      <c r="F15" s="102"/>
      <c r="G15" s="103"/>
      <c r="H15" s="104"/>
      <c r="I15" s="105"/>
      <c r="J15" s="106"/>
      <c r="K15" s="107">
        <f>K13+K14</f>
        <v>176</v>
      </c>
      <c r="L15" s="108" t="s">
        <v>36</v>
      </c>
      <c r="M15" s="24"/>
      <c r="X15" s="11"/>
      <c r="Y15" s="50"/>
      <c r="Z15" s="12"/>
      <c r="AA15" s="12"/>
      <c r="AB15" s="12"/>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1:50" ht="15" hidden="1" customHeight="1" thickBot="1" x14ac:dyDescent="0.2">
      <c r="B16" s="109"/>
      <c r="C16" s="110" t="s">
        <v>37</v>
      </c>
      <c r="D16" s="111"/>
      <c r="E16" s="111"/>
      <c r="F16" s="112"/>
      <c r="G16" s="113"/>
      <c r="H16" s="114"/>
      <c r="I16" s="115"/>
      <c r="J16" s="116"/>
      <c r="K16" s="117">
        <f>K12+K15</f>
        <v>5544</v>
      </c>
      <c r="L16" s="118" t="s">
        <v>38</v>
      </c>
      <c r="M16" s="24"/>
      <c r="X16" s="11"/>
      <c r="Y16" s="12"/>
      <c r="Z16" s="12"/>
      <c r="AA16" s="12"/>
      <c r="AB16" s="119" t="s">
        <v>39</v>
      </c>
      <c r="AC16" s="120" t="s">
        <v>40</v>
      </c>
      <c r="AD16" s="120" t="s">
        <v>41</v>
      </c>
      <c r="AE16" s="120" t="s">
        <v>42</v>
      </c>
      <c r="AF16" s="11"/>
      <c r="AG16" s="11"/>
      <c r="AH16" s="11"/>
      <c r="AI16" s="11"/>
      <c r="AJ16" s="11"/>
      <c r="AK16" s="11"/>
      <c r="AL16" s="11"/>
      <c r="AM16" s="11"/>
      <c r="AN16" s="11"/>
      <c r="AO16" s="11"/>
      <c r="AP16" s="11"/>
      <c r="AQ16" s="11"/>
      <c r="AR16" s="11"/>
      <c r="AS16" s="11"/>
      <c r="AT16" s="11"/>
      <c r="AU16" s="11"/>
      <c r="AV16" s="11"/>
      <c r="AW16" s="11"/>
      <c r="AX16" s="11"/>
    </row>
    <row r="17" spans="2:50" ht="15" hidden="1" customHeight="1" x14ac:dyDescent="0.4">
      <c r="B17" s="121" t="s">
        <v>43</v>
      </c>
      <c r="C17" s="122" t="s">
        <v>3</v>
      </c>
      <c r="D17" s="123"/>
      <c r="E17" s="17" t="str">
        <f>IF(P73="　","　",IF(P73="2ヶ月","0㎥～16㎥",IF(P73="1.5ヶ月","0㎥～12㎥",IF(P73="1ヶ月","0㎥～8㎥",IF(P73="0.5ヶ月","0㎥～4㎥")))))</f>
        <v>0㎥～16㎥</v>
      </c>
      <c r="F17" s="124"/>
      <c r="G17" s="125"/>
      <c r="H17" s="126"/>
      <c r="I17" s="21">
        <f>IF(P73="　",0,IF(P73="2ヶ月",MAX(16),IF(P73="1.5ヶ月",MAX(12),IF(P73="1ヶ月",MAX(8),IF(P73="0.5ヶ月",MAX(4))))))</f>
        <v>16</v>
      </c>
      <c r="J17" s="125" t="s">
        <v>44</v>
      </c>
      <c r="K17" s="127">
        <f>IF(OR(OR(P89="　",P89="使用していない"),P73="　"),0,IF(AND(P89="使用している",P73="2ヶ月"),AB17,IF(AND(P89="使用している",P73="1.5ヶ月"),AC17,IF(AND(P89="使用している",P73="1ヶ月"),AD17,IF(AND(P89="使用している",P73="0.5ヶ月"),AE17)))))</f>
        <v>1180</v>
      </c>
      <c r="L17" s="128" t="s">
        <v>45</v>
      </c>
      <c r="M17" s="129"/>
      <c r="X17" s="11"/>
      <c r="Y17" s="12" t="s">
        <v>46</v>
      </c>
      <c r="Z17" s="50" t="s">
        <v>47</v>
      </c>
      <c r="AA17" s="12"/>
      <c r="AB17" s="12">
        <v>1180</v>
      </c>
      <c r="AC17" s="11">
        <f>AB17*3/4</f>
        <v>885</v>
      </c>
      <c r="AD17" s="11">
        <f>AB17*2/4</f>
        <v>590</v>
      </c>
      <c r="AE17" s="11">
        <f>AB17/4</f>
        <v>295</v>
      </c>
      <c r="AF17" s="11"/>
      <c r="AG17" s="11"/>
      <c r="AH17" s="11"/>
      <c r="AI17" s="11"/>
      <c r="AJ17" s="11"/>
      <c r="AK17" s="11"/>
      <c r="AL17" s="11"/>
      <c r="AM17" s="11"/>
      <c r="AN17" s="11"/>
      <c r="AO17" s="11"/>
      <c r="AP17" s="11"/>
      <c r="AQ17" s="11"/>
      <c r="AR17" s="11"/>
      <c r="AS17" s="11"/>
      <c r="AT17" s="11"/>
      <c r="AU17" s="11"/>
      <c r="AV17" s="11"/>
      <c r="AW17" s="11"/>
      <c r="AX17" s="11"/>
    </row>
    <row r="18" spans="2:50" ht="15" hidden="1" customHeight="1" x14ac:dyDescent="0.4">
      <c r="B18" s="130"/>
      <c r="C18" s="131" t="s">
        <v>8</v>
      </c>
      <c r="D18" s="132"/>
      <c r="E18" s="31" t="str">
        <f>IF(P73="　","　",IF(P73="2ヶ月","17㎥～60㎥",IF(P73="1.5ヶ月","13㎥～45㎥",IF(P73="1ヶ月","9㎥～30㎥",IF(P73="0.5ヶ月","5㎥～15㎥")))))</f>
        <v>17㎥～60㎥</v>
      </c>
      <c r="F18" s="133">
        <f>IF(P89="　",0,IF(P89="使用している",105,IF(P89="使用していない",0,)))</f>
        <v>105</v>
      </c>
      <c r="G18" s="134" t="s">
        <v>9</v>
      </c>
      <c r="H18" s="135" t="s">
        <v>14</v>
      </c>
      <c r="I18" s="35">
        <f>IF(P73="　",0,IF(P73="2ヶ月",Y28,IF(P73="1.5ヶ月",Z28,IF(P73="1ヶ月",AA28,IF(P73="0.5ヶ月",AB28)))))</f>
        <v>24</v>
      </c>
      <c r="J18" s="136" t="s">
        <v>11</v>
      </c>
      <c r="K18" s="137">
        <f t="shared" ref="K18:K24" si="3">F18*I18</f>
        <v>2520</v>
      </c>
      <c r="L18" s="138" t="s">
        <v>9</v>
      </c>
      <c r="M18" s="126"/>
      <c r="X18" s="11"/>
      <c r="Y18" s="12"/>
      <c r="Z18" s="12" t="s">
        <v>48</v>
      </c>
      <c r="AA18" s="12"/>
      <c r="AB18" s="12">
        <v>0</v>
      </c>
      <c r="AC18" s="11">
        <v>0</v>
      </c>
      <c r="AD18" s="11">
        <v>0</v>
      </c>
      <c r="AE18" s="11">
        <v>0</v>
      </c>
      <c r="AF18" s="11"/>
      <c r="AG18" s="11"/>
      <c r="AH18" s="11"/>
      <c r="AI18" s="11"/>
      <c r="AJ18" s="11"/>
      <c r="AK18" s="11"/>
      <c r="AL18" s="11"/>
      <c r="AM18" s="11"/>
      <c r="AN18" s="11"/>
      <c r="AO18" s="11"/>
      <c r="AP18" s="11"/>
      <c r="AQ18" s="11"/>
      <c r="AR18" s="11"/>
      <c r="AS18" s="11"/>
      <c r="AT18" s="11"/>
      <c r="AU18" s="11"/>
      <c r="AV18" s="11"/>
      <c r="AW18" s="11"/>
      <c r="AX18" s="11"/>
    </row>
    <row r="19" spans="2:50" ht="15" hidden="1" customHeight="1" x14ac:dyDescent="0.4">
      <c r="B19" s="130"/>
      <c r="C19" s="139"/>
      <c r="D19" s="140"/>
      <c r="E19" s="40" t="str">
        <f>IF(P73="　","　",IF(P73="2ヶ月","61㎥～100㎥",IF(P73="1.5ヶ月","46㎥～75㎥",IF(P73="1ヶ月","31㎥～50㎥",IF(P73="0.5ヶ月","16㎥～25㎥")))))</f>
        <v>61㎥～100㎥</v>
      </c>
      <c r="F19" s="141">
        <f>IF(P89="　",0,IF(P89="使用している",125,IF(P89="使用していない",0,)))</f>
        <v>125</v>
      </c>
      <c r="G19" s="142" t="s">
        <v>9</v>
      </c>
      <c r="H19" s="143" t="s">
        <v>10</v>
      </c>
      <c r="I19" s="44" t="str">
        <f>IF(P73="　",0,IF(P73="2ヶ月",Y29,IF(P73="1.5ヶ月",Z29,IF(P73="1ヶ月",AA29,IF(P73="0.5ヶ月",AB29)))))</f>
        <v>0</v>
      </c>
      <c r="J19" s="144" t="s">
        <v>17</v>
      </c>
      <c r="K19" s="145">
        <f t="shared" si="3"/>
        <v>0</v>
      </c>
      <c r="L19" s="146" t="s">
        <v>9</v>
      </c>
      <c r="M19" s="126"/>
      <c r="X19" s="11"/>
      <c r="Y19" s="12"/>
      <c r="Z19" s="12"/>
      <c r="AA19" s="50"/>
      <c r="AB19" s="12"/>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2:50" ht="15" hidden="1" customHeight="1" x14ac:dyDescent="0.4">
      <c r="B20" s="130"/>
      <c r="C20" s="139"/>
      <c r="D20" s="140"/>
      <c r="E20" s="40" t="str">
        <f>IF(P73="　","　",IF(P73="2ヶ月","101㎥～200㎥",IF(P73="1.5ヶ月","76㎥～150㎥",IF(P73="1ヶ月","51㎥～100㎥",IF(P73="0.5ヶ月","26㎥～50㎥")))))</f>
        <v>101㎥～200㎥</v>
      </c>
      <c r="F20" s="147">
        <f>IF(P89="　",0,IF(P89="使用している",135,IF(P89="使用していない",0,)))</f>
        <v>135</v>
      </c>
      <c r="G20" s="142" t="s">
        <v>9</v>
      </c>
      <c r="H20" s="143" t="s">
        <v>10</v>
      </c>
      <c r="I20" s="44" t="str">
        <f>IF(P73="　",0,IF(P73="2ヶ月",Y30,IF(P73="1.5ヶ月",Z30,IF(P73="1ヶ月",AA30,IF(P73="0.5ヶ月",AB30)))))</f>
        <v>0</v>
      </c>
      <c r="J20" s="144" t="s">
        <v>17</v>
      </c>
      <c r="K20" s="148">
        <f t="shared" si="3"/>
        <v>0</v>
      </c>
      <c r="L20" s="146" t="s">
        <v>9</v>
      </c>
      <c r="M20" s="126"/>
      <c r="X20" s="11"/>
      <c r="Y20" s="12"/>
      <c r="Z20" s="12"/>
      <c r="AA20" s="12"/>
      <c r="AB20" s="12"/>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2:50" ht="15" hidden="1" customHeight="1" x14ac:dyDescent="0.4">
      <c r="B21" s="130"/>
      <c r="C21" s="139"/>
      <c r="D21" s="140"/>
      <c r="E21" s="40" t="str">
        <f>IF(P73="　","　",IF(P73="2ヶ月","201㎥～400㎥",IF(P73="1.5ヶ月","151㎥～300㎥",IF(P73="1ヶ月","101㎥～200㎥",IF(P73="0.5ヶ月","51㎥～100㎥")))))</f>
        <v>201㎥～400㎥</v>
      </c>
      <c r="F21" s="149">
        <f>IF(P89="　",0,IF(P89="使用している",150,IF(P89="使用していない",0,)))</f>
        <v>150</v>
      </c>
      <c r="G21" s="142" t="s">
        <v>9</v>
      </c>
      <c r="H21" s="143" t="s">
        <v>10</v>
      </c>
      <c r="I21" s="44" t="str">
        <f>IF(P73="　",0,IF(P73="2ヶ月",Y31,IF(P73="1.5ヶ月",Z31,IF(P73="1ヶ月",AA31,IF(P73="0.5ヶ月",AB31)))))</f>
        <v>0</v>
      </c>
      <c r="J21" s="144" t="s">
        <v>17</v>
      </c>
      <c r="K21" s="150">
        <f t="shared" si="3"/>
        <v>0</v>
      </c>
      <c r="L21" s="146" t="s">
        <v>9</v>
      </c>
      <c r="M21" s="126"/>
      <c r="X21" s="11"/>
      <c r="Y21" s="12"/>
      <c r="Z21" s="12"/>
      <c r="AA21" s="12"/>
      <c r="AB21" s="12"/>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2:50" ht="15" hidden="1" customHeight="1" x14ac:dyDescent="0.4">
      <c r="B22" s="130"/>
      <c r="C22" s="139"/>
      <c r="D22" s="140"/>
      <c r="E22" s="40" t="str">
        <f>IF(P73="　","　",IF(P73="2ヶ月","401㎥～1000㎥",IF(P73="1.5ヶ月","301㎥～750㎥",IF(P73="1ヶ月","201㎥～500㎥",IF(P73="0.5ヶ月","101㎥～250㎥")))))</f>
        <v>401㎥～1000㎥</v>
      </c>
      <c r="F22" s="141">
        <f>IF(P89="　",0,IF(P89="使用している",160,IF(P89="使用していない",0,)))</f>
        <v>160</v>
      </c>
      <c r="G22" s="142" t="s">
        <v>9</v>
      </c>
      <c r="H22" s="143" t="s">
        <v>10</v>
      </c>
      <c r="I22" s="44" t="str">
        <f>IF(P73="　",0,IF(P73="2ヶ月",Y32,IF(P73="1.5ヶ月",Z32,IF(P73="1ヶ月",AA32,IF(P73="0.5ヶ月",AB32)))))</f>
        <v>0</v>
      </c>
      <c r="J22" s="144" t="s">
        <v>17</v>
      </c>
      <c r="K22" s="145">
        <f t="shared" si="3"/>
        <v>0</v>
      </c>
      <c r="L22" s="146" t="s">
        <v>9</v>
      </c>
      <c r="M22" s="126"/>
      <c r="X22" s="11"/>
      <c r="Y22" s="151">
        <f>IF(MIN(20,P93-20)&lt;0,"0",MIN(20,P93-20))</f>
        <v>20</v>
      </c>
      <c r="Z22" s="151">
        <f>IF(MIN(15,P93-15)&lt;0,"0",MIN(15,P93-15))</f>
        <v>15</v>
      </c>
      <c r="AA22" s="151">
        <f>IF(MIN(10,P93-10)&lt;0,"0",MIN(10,P93-10))</f>
        <v>10</v>
      </c>
      <c r="AB22" s="151">
        <f>IF(MIN(5,P93-5)&lt;0,"0",MIN(5,P93-5))</f>
        <v>5</v>
      </c>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2:50" ht="15" hidden="1" customHeight="1" x14ac:dyDescent="0.4">
      <c r="B23" s="130"/>
      <c r="C23" s="139"/>
      <c r="D23" s="140"/>
      <c r="E23" s="40" t="str">
        <f>IF(P73="　","　",IF(P73="2ヶ月","1001㎥～2000㎥",IF(P73="1.5ヶ月","751㎥～1500㎥",IF(P73="1ヶ月","501㎥～1000㎥",IF(P73="0.5ヶ月","251㎥～500㎥")))))</f>
        <v>1001㎥～2000㎥</v>
      </c>
      <c r="F23" s="141">
        <f>IF(P89="　",0,IF(P89="使用している",170,IF(P89="使用していない",0,)))</f>
        <v>170</v>
      </c>
      <c r="G23" s="142" t="s">
        <v>9</v>
      </c>
      <c r="H23" s="143" t="s">
        <v>10</v>
      </c>
      <c r="I23" s="44" t="str">
        <f>IF(P73="　",0,IF(P73="2ヶ月",Y33,IF(P73="1.5ヶ月",Z33,IF(P73="1ヶ月",AA33,IF(P73="0.5ヶ月",AB33)))))</f>
        <v>0</v>
      </c>
      <c r="J23" s="144" t="s">
        <v>17</v>
      </c>
      <c r="K23" s="145">
        <f t="shared" si="3"/>
        <v>0</v>
      </c>
      <c r="L23" s="146" t="s">
        <v>9</v>
      </c>
      <c r="M23" s="126"/>
      <c r="X23" s="11"/>
      <c r="Y23" s="151">
        <f>IF(MIN(60,P93-40)&lt;0,"0",MIN(60,P93-40))</f>
        <v>0</v>
      </c>
      <c r="Z23" s="151">
        <f>IF(MIN(45,P93-30)&lt;0,"0",MIN(45,P93-30))</f>
        <v>10</v>
      </c>
      <c r="AA23" s="151">
        <f>IF(MIN(30,P93-20)&lt;0,"0",MIN(30,P93-20))</f>
        <v>20</v>
      </c>
      <c r="AB23" s="151">
        <f>IF(MIN(15,P93-10)&lt;0,"0",MIN(15,P93-10))</f>
        <v>15</v>
      </c>
      <c r="AC23" s="11"/>
      <c r="AD23" s="11"/>
      <c r="AE23" s="11"/>
      <c r="AF23" s="11"/>
      <c r="AG23" s="11"/>
      <c r="AH23" s="11"/>
      <c r="AI23" s="11"/>
      <c r="AJ23" s="11"/>
      <c r="AK23" s="11"/>
      <c r="AL23" s="11"/>
      <c r="AM23" s="11"/>
      <c r="AN23" s="11"/>
      <c r="AO23" s="11"/>
      <c r="AP23" s="11"/>
      <c r="AQ23" s="11"/>
      <c r="AR23" s="11"/>
      <c r="AS23" s="11"/>
      <c r="AT23" s="11"/>
      <c r="AU23" s="11"/>
      <c r="AV23" s="11"/>
      <c r="AW23" s="11"/>
      <c r="AX23" s="11"/>
    </row>
    <row r="24" spans="2:50" ht="15" hidden="1" customHeight="1" x14ac:dyDescent="0.4">
      <c r="B24" s="130"/>
      <c r="C24" s="139"/>
      <c r="D24" s="140"/>
      <c r="E24" s="40" t="str">
        <f>IF(P73="　","　",IF(P73="2ヶ月","2001㎥～",IF(P73="1.5ヶ月","1501㎥～",IF(P73="1ヶ月","1001㎥～",IF(P73="0.5ヶ月","501㎥～")))))</f>
        <v>2001㎥～</v>
      </c>
      <c r="F24" s="141">
        <f>IF(P89="　",0,IF(P89="使用している",180,IF(P89="使用していない",0,)))</f>
        <v>180</v>
      </c>
      <c r="G24" s="142" t="s">
        <v>9</v>
      </c>
      <c r="H24" s="143" t="s">
        <v>10</v>
      </c>
      <c r="I24" s="44">
        <f>IF(P73="　",0,IF(P73="2ヶ月",Y34,IF(P73="1.5ヶ月",Z34,IF(P73="1ヶ月",AA34,IF(P73="0.5ヶ月",AB34)))))</f>
        <v>0</v>
      </c>
      <c r="J24" s="144" t="s">
        <v>17</v>
      </c>
      <c r="K24" s="148">
        <f t="shared" si="3"/>
        <v>0</v>
      </c>
      <c r="L24" s="146" t="s">
        <v>9</v>
      </c>
      <c r="M24" s="126"/>
      <c r="X24" s="11"/>
      <c r="Y24" s="151" t="str">
        <f>IF(MIN(100,P93-100)&lt;0,"0",MIN(100,P93-100))</f>
        <v>0</v>
      </c>
      <c r="Z24" s="151" t="str">
        <f>IF(MIN(75,P93-75)&lt;0,"0",MIN(75,P93-75))</f>
        <v>0</v>
      </c>
      <c r="AA24" s="151" t="str">
        <f>IF(MIN(50,P93-50)&lt;0,"0",MIN(50,P93-50))</f>
        <v>0</v>
      </c>
      <c r="AB24" s="151">
        <f>IF(MIN(25,P93-25)&lt;0,"0",MIN(25,P93-25))</f>
        <v>15</v>
      </c>
      <c r="AC24" s="11"/>
      <c r="AD24" s="11"/>
      <c r="AE24" s="11"/>
      <c r="AF24" s="11"/>
      <c r="AG24" s="11"/>
      <c r="AH24" s="11"/>
      <c r="AI24" s="11"/>
      <c r="AJ24" s="11"/>
      <c r="AK24" s="11"/>
      <c r="AL24" s="11"/>
      <c r="AM24" s="11"/>
      <c r="AN24" s="11"/>
      <c r="AO24" s="11"/>
      <c r="AP24" s="11"/>
      <c r="AQ24" s="11"/>
      <c r="AR24" s="11"/>
      <c r="AS24" s="11"/>
      <c r="AT24" s="11"/>
      <c r="AU24" s="11"/>
      <c r="AV24" s="11"/>
      <c r="AW24" s="11"/>
      <c r="AX24" s="11"/>
    </row>
    <row r="25" spans="2:50" ht="15" hidden="1" customHeight="1" x14ac:dyDescent="0.4">
      <c r="B25" s="130"/>
      <c r="C25" s="152"/>
      <c r="D25" s="153"/>
      <c r="E25" s="154" t="s">
        <v>20</v>
      </c>
      <c r="F25" s="155"/>
      <c r="G25" s="156"/>
      <c r="H25" s="156"/>
      <c r="I25" s="156"/>
      <c r="J25" s="156"/>
      <c r="K25" s="157">
        <f>SUM(K18:K24)</f>
        <v>2520</v>
      </c>
      <c r="L25" s="158" t="s">
        <v>49</v>
      </c>
      <c r="M25" s="129"/>
      <c r="X25" s="11"/>
      <c r="Y25" s="151" t="str">
        <f>IF(MIN(200,P93-200)&lt;0,"0",MAX(P93-200))</f>
        <v>0</v>
      </c>
      <c r="Z25" s="151" t="str">
        <f>IF(MIN(150,P93-150)&lt;0,"0",MAX(P93-150))</f>
        <v>0</v>
      </c>
      <c r="AA25" s="151" t="str">
        <f>IF(MIN(100,P93-100)&lt;0,"0",MAX(P93-100))</f>
        <v>0</v>
      </c>
      <c r="AB25" s="151" t="str">
        <f>IF(MIN(50,P93-50)&lt;0,"0",MAX(P93-50))</f>
        <v>0</v>
      </c>
      <c r="AC25" s="11"/>
      <c r="AD25" s="11"/>
      <c r="AE25" s="11"/>
      <c r="AF25" s="11"/>
      <c r="AG25" s="11"/>
      <c r="AH25" s="11"/>
      <c r="AI25" s="11"/>
      <c r="AJ25" s="11"/>
      <c r="AK25" s="11"/>
      <c r="AL25" s="11"/>
      <c r="AM25" s="11"/>
      <c r="AN25" s="11"/>
      <c r="AO25" s="11"/>
      <c r="AP25" s="11"/>
      <c r="AQ25" s="11"/>
      <c r="AR25" s="11"/>
      <c r="AS25" s="11"/>
      <c r="AT25" s="11"/>
      <c r="AU25" s="11"/>
      <c r="AV25" s="11"/>
      <c r="AW25" s="11"/>
      <c r="AX25" s="11"/>
    </row>
    <row r="26" spans="2:50" ht="15" hidden="1" customHeight="1" x14ac:dyDescent="0.15">
      <c r="B26" s="130"/>
      <c r="C26" s="65" t="s">
        <v>50</v>
      </c>
      <c r="D26" s="159"/>
      <c r="E26" s="94"/>
      <c r="F26" s="155"/>
      <c r="G26" s="156"/>
      <c r="H26" s="156"/>
      <c r="I26" s="156"/>
      <c r="J26" s="156"/>
      <c r="K26" s="157">
        <f>ROUNDDOWN((K17+K25),-1)</f>
        <v>3700</v>
      </c>
      <c r="L26" s="158" t="s">
        <v>51</v>
      </c>
      <c r="M26" s="129"/>
      <c r="X26" s="11"/>
      <c r="Y26" s="12"/>
      <c r="Z26" s="12"/>
      <c r="AA26" s="12"/>
      <c r="AB26" s="12"/>
      <c r="AC26" s="11"/>
      <c r="AD26" s="11"/>
      <c r="AE26" s="11"/>
      <c r="AF26" s="11"/>
      <c r="AG26" s="11"/>
      <c r="AH26" s="11"/>
      <c r="AI26" s="11"/>
      <c r="AJ26" s="11"/>
      <c r="AK26" s="11"/>
      <c r="AL26" s="11"/>
      <c r="AM26" s="11"/>
      <c r="AN26" s="11"/>
      <c r="AO26" s="11"/>
      <c r="AP26" s="11"/>
      <c r="AQ26" s="11"/>
      <c r="AR26" s="11"/>
      <c r="AS26" s="11"/>
      <c r="AT26" s="11"/>
      <c r="AU26" s="11"/>
      <c r="AV26" s="11"/>
      <c r="AW26" s="11"/>
      <c r="AX26" s="11"/>
    </row>
    <row r="27" spans="2:50" ht="15" hidden="1" customHeight="1" thickBot="1" x14ac:dyDescent="0.2">
      <c r="B27" s="130"/>
      <c r="C27" s="160" t="s">
        <v>52</v>
      </c>
      <c r="D27" s="161"/>
      <c r="E27" s="162"/>
      <c r="F27" s="163"/>
      <c r="G27" s="164"/>
      <c r="H27" s="164"/>
      <c r="I27" s="164"/>
      <c r="J27" s="164"/>
      <c r="K27" s="107">
        <f>ROUNDDOWN(K26*0.1,0)</f>
        <v>370</v>
      </c>
      <c r="L27" s="165" t="s">
        <v>53</v>
      </c>
      <c r="M27" s="129"/>
      <c r="X27" s="11"/>
      <c r="Y27" s="12"/>
      <c r="Z27" s="50"/>
      <c r="AA27" s="12"/>
      <c r="AB27" s="12"/>
      <c r="AC27" s="11"/>
      <c r="AD27" s="11"/>
      <c r="AE27" s="11"/>
      <c r="AF27" s="11"/>
      <c r="AG27" s="11"/>
      <c r="AH27" s="11"/>
      <c r="AI27" s="11"/>
      <c r="AJ27" s="11"/>
      <c r="AK27" s="11"/>
      <c r="AL27" s="11"/>
      <c r="AM27" s="11"/>
      <c r="AN27" s="11"/>
      <c r="AO27" s="11"/>
      <c r="AP27" s="11"/>
      <c r="AQ27" s="11"/>
      <c r="AR27" s="11"/>
      <c r="AS27" s="11"/>
      <c r="AT27" s="11"/>
      <c r="AU27" s="11"/>
      <c r="AV27" s="11"/>
      <c r="AW27" s="11"/>
      <c r="AX27" s="11"/>
    </row>
    <row r="28" spans="2:50" ht="15" hidden="1" customHeight="1" thickBot="1" x14ac:dyDescent="0.2">
      <c r="B28" s="166"/>
      <c r="C28" s="167" t="s">
        <v>54</v>
      </c>
      <c r="D28" s="168"/>
      <c r="E28" s="169"/>
      <c r="F28" s="170"/>
      <c r="G28" s="171"/>
      <c r="H28" s="172"/>
      <c r="I28" s="173"/>
      <c r="J28" s="174"/>
      <c r="K28" s="175">
        <f>K26+K27</f>
        <v>4070</v>
      </c>
      <c r="L28" s="176" t="s">
        <v>55</v>
      </c>
      <c r="M28" s="24"/>
      <c r="X28" s="11"/>
      <c r="Y28" s="177">
        <f>IF(MIN(44,P93-16)&lt;0,"0",MIN(44,P93-16))</f>
        <v>24</v>
      </c>
      <c r="Z28" s="177">
        <f>IF(MIN(33,P93-12)&lt;0,"0",MIN(33,P93-12))</f>
        <v>28</v>
      </c>
      <c r="AA28" s="177">
        <f>IF(MIN(22,P93-8)&lt;0,"0",MIN(22,P93-8))</f>
        <v>22</v>
      </c>
      <c r="AB28" s="177">
        <f>IF(MIN(11,P93-4)&lt;0,"0",MIN(11,P93-4))</f>
        <v>11</v>
      </c>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2:50" ht="15" hidden="1" customHeight="1" thickTop="1" x14ac:dyDescent="0.15">
      <c r="B29" s="178" t="s">
        <v>56</v>
      </c>
      <c r="C29" s="179"/>
      <c r="D29" s="179"/>
      <c r="E29" s="180"/>
      <c r="F29" s="181"/>
      <c r="G29" s="181"/>
      <c r="H29" s="181"/>
      <c r="I29" s="181"/>
      <c r="J29" s="182">
        <f>K16+K28</f>
        <v>9614</v>
      </c>
      <c r="K29" s="182"/>
      <c r="L29" s="183" t="s">
        <v>9</v>
      </c>
      <c r="M29" s="184"/>
      <c r="X29" s="11"/>
      <c r="Y29" s="177" t="str">
        <f>IF(MIN(40,P93-60)&lt;0,"0",MIN(40,P93-60))</f>
        <v>0</v>
      </c>
      <c r="Z29" s="177" t="str">
        <f>IF(MIN(30,P93-45)&lt;0,"0",MIN(30,P93-45))</f>
        <v>0</v>
      </c>
      <c r="AA29" s="177">
        <f>IF(MIN(20,P93-30)&lt;0,"0",MIN(20,P93-30))</f>
        <v>10</v>
      </c>
      <c r="AB29" s="177">
        <f>IF(MIN(10,P93-15)&lt;0,"0",MIN(10,P93-15))</f>
        <v>10</v>
      </c>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2:50" ht="15" hidden="1" customHeight="1" thickBot="1" x14ac:dyDescent="0.2">
      <c r="B30" s="185"/>
      <c r="C30" s="186"/>
      <c r="D30" s="186"/>
      <c r="E30" s="187"/>
      <c r="F30" s="188"/>
      <c r="G30" s="188"/>
      <c r="H30" s="188"/>
      <c r="I30" s="188"/>
      <c r="J30" s="189"/>
      <c r="K30" s="189"/>
      <c r="L30" s="190"/>
      <c r="M30" s="191"/>
      <c r="X30" s="11"/>
      <c r="Y30" s="177" t="str">
        <f>IF(MIN(100,P93-100)&lt;0,"0",MIN(100,P93-100))</f>
        <v>0</v>
      </c>
      <c r="Z30" s="177" t="str">
        <f>IF(MIN(75,P93-75)&lt;0,"0",MIN(75,P93-75))</f>
        <v>0</v>
      </c>
      <c r="AA30" s="177" t="str">
        <f>IF(MIN(50,P93-50)&lt;0,"0",MIN(50,P93-50))</f>
        <v>0</v>
      </c>
      <c r="AB30" s="177">
        <f>IF(MIN(25,P93-25)&lt;0,"0",MIN(25,P93-25))</f>
        <v>15</v>
      </c>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2:50" ht="15" hidden="1" customHeight="1" thickTop="1" x14ac:dyDescent="0.15">
      <c r="L31" s="9"/>
      <c r="M31" s="9"/>
      <c r="X31" s="11"/>
      <c r="Y31" s="177" t="str">
        <f>IF(MIN(200,P93-200)&lt;0,"0",MIN(200,P93-200))</f>
        <v>0</v>
      </c>
      <c r="Z31" s="177" t="str">
        <f>IF(MIN(150,P93-150)&lt;0,"0",MIN(150,P93-150))</f>
        <v>0</v>
      </c>
      <c r="AA31" s="177" t="str">
        <f>IF(MIN(100,P93-100)&lt;0,"0",MIN(100,P93-100))</f>
        <v>0</v>
      </c>
      <c r="AB31" s="177" t="str">
        <f>IF(MIN(50,P93-50)&lt;0,"0",MIN(50,P93-50))</f>
        <v>0</v>
      </c>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2:50" ht="14.1" hidden="1" customHeight="1" x14ac:dyDescent="0.15">
      <c r="X32" s="11"/>
      <c r="Y32" s="177" t="str">
        <f>IF(MIN(600,P93-400)&lt;0,"0",MIN(600,P93-400))</f>
        <v>0</v>
      </c>
      <c r="Z32" s="177" t="str">
        <f>IF(MIN(450,P93-300)&lt;0,"0",MIN(450,P93-300))</f>
        <v>0</v>
      </c>
      <c r="AA32" s="177" t="str">
        <f>IF(MIN(300,P93-300)&lt;0,"0",MIN(300,P93-300))</f>
        <v>0</v>
      </c>
      <c r="AB32" s="177" t="str">
        <f>IF(MIN(250,P93-250)&lt;0,"0",MIN(250,P93-250))</f>
        <v>0</v>
      </c>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2:50" ht="14.1" hidden="1" customHeight="1" x14ac:dyDescent="0.15">
      <c r="X33" s="11"/>
      <c r="Y33" s="177" t="str">
        <f>IF(MIN(1000,P93-1000)&lt;0,"0",MIN(1000,P93-1000))</f>
        <v>0</v>
      </c>
      <c r="Z33" s="177" t="str">
        <f>IF(MIN(750,P93-750)&lt;0,"0",MIN(750,P93-750))</f>
        <v>0</v>
      </c>
      <c r="AA33" s="177" t="str">
        <f>IF(MIN(500,P93-500)&lt;0,"0",MIN(500,P93-500))</f>
        <v>0</v>
      </c>
      <c r="AB33" s="177" t="str">
        <f>IF(MIN(250,P93-250)&lt;0,"0",MIN(250,P93-250))</f>
        <v>0</v>
      </c>
      <c r="AC33" s="11"/>
      <c r="AD33" s="11"/>
      <c r="AE33" s="11"/>
      <c r="AF33" s="11"/>
      <c r="AG33" s="11"/>
      <c r="AH33" s="11"/>
      <c r="AI33" s="11"/>
      <c r="AJ33" s="11"/>
      <c r="AK33" s="11"/>
      <c r="AL33" s="11"/>
      <c r="AM33" s="11"/>
      <c r="AN33" s="11"/>
      <c r="AO33" s="11"/>
      <c r="AP33" s="11"/>
      <c r="AQ33" s="11"/>
      <c r="AR33" s="11"/>
      <c r="AS33" s="11"/>
      <c r="AT33" s="11"/>
      <c r="AU33" s="11"/>
      <c r="AV33" s="11"/>
      <c r="AW33" s="11"/>
      <c r="AX33" s="11"/>
    </row>
    <row r="34" spans="2:50" ht="29.25" hidden="1" customHeight="1" x14ac:dyDescent="0.2">
      <c r="B34" s="2" t="s">
        <v>57</v>
      </c>
      <c r="C34" s="2"/>
      <c r="D34" s="2"/>
      <c r="E34" s="2"/>
      <c r="F34" s="2"/>
      <c r="G34" s="2"/>
      <c r="H34" s="2"/>
      <c r="I34" s="2"/>
      <c r="J34" s="2"/>
      <c r="K34" s="2"/>
      <c r="L34" s="2"/>
      <c r="M34" s="2"/>
      <c r="N34" s="2"/>
      <c r="O34" s="2"/>
      <c r="P34" s="2"/>
      <c r="Q34" s="2"/>
      <c r="R34" s="2"/>
      <c r="S34" s="2"/>
      <c r="T34" s="2"/>
      <c r="U34" s="2"/>
      <c r="V34" s="2"/>
      <c r="W34" s="2"/>
      <c r="X34" s="3"/>
      <c r="Y34" s="4"/>
      <c r="Z34" s="4"/>
      <c r="AA34" s="4"/>
      <c r="AB34" s="4"/>
      <c r="AC34" s="1"/>
      <c r="AD34" s="1"/>
      <c r="AE34" s="1"/>
      <c r="AF34" s="1"/>
      <c r="AG34" s="1"/>
      <c r="AH34" s="1"/>
      <c r="AI34" s="1"/>
      <c r="AJ34" s="1"/>
      <c r="AK34" s="1"/>
      <c r="AL34" s="1"/>
      <c r="AM34" s="11"/>
      <c r="AN34" s="11"/>
      <c r="AO34" s="11"/>
      <c r="AP34" s="11"/>
      <c r="AQ34" s="11"/>
      <c r="AR34" s="11"/>
      <c r="AS34" s="11"/>
      <c r="AT34" s="11"/>
      <c r="AU34" s="11"/>
      <c r="AV34" s="11"/>
      <c r="AW34" s="11"/>
      <c r="AX34" s="11"/>
    </row>
    <row r="35" spans="2:50" ht="14.1" hidden="1" customHeight="1" x14ac:dyDescent="0.2">
      <c r="B35" s="5"/>
      <c r="C35" s="5"/>
      <c r="D35" s="5"/>
      <c r="E35" s="5"/>
      <c r="F35" s="5"/>
      <c r="G35" s="5"/>
      <c r="H35" s="5"/>
      <c r="I35" s="5"/>
      <c r="J35" s="5"/>
      <c r="K35" s="5"/>
      <c r="L35" s="5"/>
      <c r="M35" s="5"/>
      <c r="N35" s="5"/>
      <c r="O35" s="5"/>
      <c r="P35" s="5"/>
      <c r="Q35" s="5"/>
      <c r="R35" s="5"/>
      <c r="S35" s="5"/>
      <c r="T35" s="5"/>
      <c r="U35" s="5"/>
      <c r="V35" s="5"/>
      <c r="W35" s="6"/>
      <c r="X35" s="7"/>
      <c r="Y35" s="4"/>
      <c r="Z35" s="4"/>
      <c r="AA35" s="4"/>
      <c r="AB35" s="4"/>
      <c r="AC35" s="7"/>
      <c r="AD35" s="7"/>
      <c r="AE35" s="7"/>
      <c r="AF35" s="7"/>
      <c r="AG35" s="7"/>
      <c r="AH35" s="7"/>
      <c r="AI35" s="7"/>
      <c r="AJ35" s="7"/>
      <c r="AK35" s="7"/>
      <c r="AL35" s="7"/>
      <c r="AM35" s="11"/>
      <c r="AN35" s="11"/>
      <c r="AO35" s="11"/>
      <c r="AP35" s="11"/>
      <c r="AQ35" s="11"/>
      <c r="AR35" s="11"/>
      <c r="AS35" s="11"/>
      <c r="AT35" s="11"/>
      <c r="AU35" s="11"/>
      <c r="AV35" s="11"/>
      <c r="AW35" s="11"/>
      <c r="AX35" s="11"/>
    </row>
    <row r="36" spans="2:50" ht="15" hidden="1" customHeight="1" thickBot="1" x14ac:dyDescent="0.2">
      <c r="B36" s="9"/>
      <c r="C36" s="9"/>
      <c r="D36" s="9"/>
      <c r="E36" s="9"/>
      <c r="F36" s="9"/>
      <c r="G36" s="9"/>
      <c r="H36" s="9"/>
      <c r="I36" s="9"/>
      <c r="J36" s="9"/>
      <c r="K36" s="192"/>
      <c r="L36" s="9"/>
      <c r="M36" s="9"/>
      <c r="X36" s="11"/>
      <c r="Y36" s="12"/>
      <c r="Z36" s="12"/>
      <c r="AA36" s="12"/>
      <c r="AB36" s="12"/>
      <c r="AC36" s="11"/>
      <c r="AD36" s="11"/>
      <c r="AE36" s="11"/>
      <c r="AF36" s="120" t="s">
        <v>58</v>
      </c>
      <c r="AG36" s="120" t="s">
        <v>39</v>
      </c>
      <c r="AH36" s="120" t="s">
        <v>40</v>
      </c>
      <c r="AI36" s="120" t="s">
        <v>41</v>
      </c>
      <c r="AJ36" s="120" t="s">
        <v>42</v>
      </c>
      <c r="AK36" s="11"/>
      <c r="AL36" s="11"/>
      <c r="AM36" s="11"/>
      <c r="AN36" s="11"/>
      <c r="AO36" s="11"/>
      <c r="AP36" s="11"/>
      <c r="AQ36" s="11"/>
      <c r="AR36" s="11"/>
      <c r="AS36" s="11"/>
      <c r="AT36" s="11"/>
      <c r="AU36" s="11"/>
      <c r="AV36" s="11"/>
      <c r="AW36" s="11"/>
      <c r="AX36" s="11"/>
    </row>
    <row r="37" spans="2:50" ht="15" hidden="1" customHeight="1" thickTop="1" x14ac:dyDescent="0.15">
      <c r="B37" s="193" t="s">
        <v>1</v>
      </c>
      <c r="C37" s="15" t="s">
        <v>2</v>
      </c>
      <c r="D37" s="16" t="s">
        <v>3</v>
      </c>
      <c r="E37" s="17" t="str">
        <f>IF(P45="　","　",IF(P45="2ヶ月","0㎥～12㎥",IF(P45="1.5ヶ月","0㎥～9㎥",IF(P45="1ヶ月","0㎥～10㎥",IF(P45="0.5ヶ月","0㎥～3㎥")))))</f>
        <v>0㎥～12㎥</v>
      </c>
      <c r="F37" s="18"/>
      <c r="G37" s="19"/>
      <c r="H37" s="20"/>
      <c r="I37" s="21">
        <f>IF(P45="　",0,IF(P45="2ヶ月",MAX(12),IF(P45="1.5ヶ月",MAX(9),IF(P45="1ヶ月",MAX(6),IF(P45="0.5ヶ月",MAX(3))))))</f>
        <v>12</v>
      </c>
      <c r="J37" s="19" t="s">
        <v>4</v>
      </c>
      <c r="K37" s="91">
        <f>IF(P51="　",0,IF(P51=13,AL37,IF(P51=20,AL38,IF(P51=25,AL39,IF(P51=40,AL40,IF(P51=50,AL41,IF(P51=75,AL42,IF(P51=100,AL43,IF(P51=150,AL44)))))))))</f>
        <v>2600</v>
      </c>
      <c r="L37" s="23" t="s">
        <v>5</v>
      </c>
      <c r="M37" s="24"/>
      <c r="N37" s="194" t="s">
        <v>59</v>
      </c>
      <c r="O37" s="195"/>
      <c r="P37" s="195"/>
      <c r="Q37" s="195"/>
      <c r="R37" s="195"/>
      <c r="S37" s="196"/>
      <c r="T37" s="197"/>
      <c r="U37" s="197"/>
      <c r="V37" s="197"/>
      <c r="W37" s="198"/>
      <c r="X37" s="11"/>
      <c r="Y37" s="25"/>
      <c r="Z37" s="26"/>
      <c r="AA37" s="12"/>
      <c r="AB37" s="12"/>
      <c r="AC37" s="11"/>
      <c r="AD37" s="11"/>
      <c r="AE37" s="11"/>
      <c r="AF37" s="27">
        <v>13</v>
      </c>
      <c r="AG37" s="199">
        <v>2600</v>
      </c>
      <c r="AH37" s="199">
        <f t="shared" ref="AH37:AH44" si="4">AG37*3/4</f>
        <v>1950</v>
      </c>
      <c r="AI37" s="199">
        <f t="shared" ref="AI37:AI44" si="5">AG37*2/4</f>
        <v>1300</v>
      </c>
      <c r="AJ37" s="199">
        <f t="shared" ref="AJ37:AJ44" si="6">AG37/4</f>
        <v>650</v>
      </c>
      <c r="AK37" s="11"/>
      <c r="AL37" s="11">
        <f>IF(OR(P51="　",P45="　"),0,IF(AND(P51=13,P45="2ヶ月"),AG37,IF(AND(P51=13,P45="1.5ヶ月"),AH37,IF(AND(P51=13,P45="1ヶ月"),AI37,IF(AND(P51=13,P45="0.5ヶ月"),AJ37)))))</f>
        <v>2600</v>
      </c>
      <c r="AM37" s="11"/>
      <c r="AN37" s="11"/>
      <c r="AO37" s="11"/>
      <c r="AP37" s="11"/>
      <c r="AQ37" s="11"/>
      <c r="AR37" s="11"/>
      <c r="AS37" s="11"/>
      <c r="AT37" s="11"/>
      <c r="AU37" s="11"/>
      <c r="AV37" s="11"/>
      <c r="AW37" s="11"/>
      <c r="AX37" s="11"/>
    </row>
    <row r="38" spans="2:50" ht="15" hidden="1" customHeight="1" x14ac:dyDescent="0.15">
      <c r="B38" s="166"/>
      <c r="C38" s="29"/>
      <c r="D38" s="30" t="s">
        <v>8</v>
      </c>
      <c r="E38" s="200" t="str">
        <f>IF(P45="　","　",IF(P45="2ヶ月","13㎥～20㎥",IF(P45="1.5ヶ月","10㎥～15㎥",IF(P45="1ヶ月","7㎥～１0㎥",IF(P45="0.5ヶ月","4㎥～5㎥")))))</f>
        <v>13㎥～20㎥</v>
      </c>
      <c r="F38" s="201">
        <v>10</v>
      </c>
      <c r="G38" s="202" t="s">
        <v>9</v>
      </c>
      <c r="H38" s="203" t="s">
        <v>60</v>
      </c>
      <c r="I38" s="204">
        <f>IF(P45="　",0,IF(P45="2ヶ月",Y55,IF(P45="1.5ヶ月",Z55,IF(P45="1ヶ月",AA55,IF(P45="0.5ヶ月",AB55)))))</f>
        <v>8</v>
      </c>
      <c r="J38" s="205" t="s">
        <v>61</v>
      </c>
      <c r="K38" s="206">
        <f t="shared" ref="K38:K43" si="7">F38*I38</f>
        <v>80</v>
      </c>
      <c r="L38" s="207" t="s">
        <v>9</v>
      </c>
      <c r="M38" s="24"/>
      <c r="N38" s="208"/>
      <c r="O38" s="209"/>
      <c r="P38" s="209"/>
      <c r="Q38" s="209"/>
      <c r="R38" s="209"/>
      <c r="S38" s="9"/>
      <c r="T38" s="210"/>
      <c r="U38" s="210"/>
      <c r="V38" s="210"/>
      <c r="W38" s="211"/>
      <c r="X38" s="11"/>
      <c r="Y38" s="25"/>
      <c r="Z38" s="26"/>
      <c r="AA38" s="12"/>
      <c r="AB38" s="12"/>
      <c r="AC38" s="11"/>
      <c r="AD38" s="11"/>
      <c r="AE38" s="11"/>
      <c r="AF38" s="27">
        <v>20</v>
      </c>
      <c r="AG38" s="199">
        <v>2800</v>
      </c>
      <c r="AH38" s="199">
        <f t="shared" si="4"/>
        <v>2100</v>
      </c>
      <c r="AI38" s="199">
        <f t="shared" si="5"/>
        <v>1400</v>
      </c>
      <c r="AJ38" s="199">
        <f t="shared" si="6"/>
        <v>700</v>
      </c>
      <c r="AK38" s="11"/>
      <c r="AL38" s="11" t="b">
        <f>IF(OR(P51="　",P45="　"),0,IF(AND(P51=20,P45="2ヶ月"),AG38,IF(AND(P51=20,P45="1.5ヶ月"),AH38,IF(AND(P51=20,P45="1ヶ月"),AI38,IF(AND(P51=20,P45="0.5ヶ月"),AJ38)))))</f>
        <v>0</v>
      </c>
      <c r="AM38" s="11"/>
      <c r="AN38" s="11"/>
      <c r="AO38" s="11"/>
      <c r="AP38" s="11"/>
      <c r="AQ38" s="11"/>
      <c r="AR38" s="11"/>
      <c r="AS38" s="11"/>
      <c r="AT38" s="11"/>
      <c r="AU38" s="11"/>
      <c r="AV38" s="11"/>
      <c r="AW38" s="11"/>
      <c r="AX38" s="11"/>
    </row>
    <row r="39" spans="2:50" ht="15" hidden="1" customHeight="1" x14ac:dyDescent="0.15">
      <c r="B39" s="166"/>
      <c r="C39" s="29"/>
      <c r="D39" s="29"/>
      <c r="E39" s="200" t="str">
        <f>IF(P45="　","　",IF(P45="2ヶ月","21㎥～40㎥",IF(P45="1.5ヶ月","16㎥～30㎥",IF(P45="1ヶ月","11㎥～20㎥",IF(P45="0.5ヶ月","6㎥～10㎥")))))</f>
        <v>21㎥～40㎥</v>
      </c>
      <c r="F39" s="201">
        <v>145</v>
      </c>
      <c r="G39" s="202" t="s">
        <v>9</v>
      </c>
      <c r="H39" s="203" t="s">
        <v>10</v>
      </c>
      <c r="I39" s="48">
        <f>IF(P45="　",0,IF(P45="2ヶ月",Y56,IF(P45="1.5ヶ月",Z56,IF(P45="1ヶ月",AA56,IF(P45="0.5ヶ月",AB56)))))</f>
        <v>20</v>
      </c>
      <c r="J39" s="205" t="s">
        <v>61</v>
      </c>
      <c r="K39" s="206">
        <f t="shared" si="7"/>
        <v>2900</v>
      </c>
      <c r="L39" s="207" t="s">
        <v>9</v>
      </c>
      <c r="M39" s="39"/>
      <c r="N39" s="208"/>
      <c r="O39" s="209"/>
      <c r="P39" s="209"/>
      <c r="Q39" s="209"/>
      <c r="R39" s="209"/>
      <c r="S39" s="9"/>
      <c r="T39" s="210"/>
      <c r="U39" s="210"/>
      <c r="V39" s="210"/>
      <c r="W39" s="211"/>
      <c r="X39" s="11"/>
      <c r="Y39" s="12"/>
      <c r="Z39" s="26"/>
      <c r="AA39" s="12"/>
      <c r="AB39" s="12"/>
      <c r="AC39" s="11"/>
      <c r="AD39" s="11"/>
      <c r="AE39" s="11"/>
      <c r="AF39" s="27">
        <v>25</v>
      </c>
      <c r="AG39" s="199">
        <v>8000</v>
      </c>
      <c r="AH39" s="199">
        <f t="shared" si="4"/>
        <v>6000</v>
      </c>
      <c r="AI39" s="199">
        <f t="shared" si="5"/>
        <v>4000</v>
      </c>
      <c r="AJ39" s="199">
        <f t="shared" si="6"/>
        <v>2000</v>
      </c>
      <c r="AK39" s="11"/>
      <c r="AL39" s="11" t="b">
        <f>IF(OR(P51="　",P45="　"),0,IF(AND(P51=25,P45="2ヶ月"),AG39,IF(AND(P51=25,P45="1.5ヶ月"),AH39,IF(AND(P51=25,P45="1ヶ月"),AI39,IF(AND(P51=25,P45="0.5ヶ月"),AJ39)))))</f>
        <v>0</v>
      </c>
      <c r="AM39" s="11"/>
      <c r="AN39" s="11"/>
      <c r="AO39" s="11"/>
      <c r="AP39" s="11"/>
      <c r="AQ39" s="11"/>
      <c r="AR39" s="11"/>
      <c r="AS39" s="11"/>
      <c r="AT39" s="11"/>
      <c r="AU39" s="11"/>
      <c r="AV39" s="11"/>
      <c r="AW39" s="11"/>
      <c r="AX39" s="11"/>
    </row>
    <row r="40" spans="2:50" ht="15" hidden="1" customHeight="1" x14ac:dyDescent="0.4">
      <c r="B40" s="166"/>
      <c r="C40" s="29"/>
      <c r="D40" s="29"/>
      <c r="E40" s="40" t="str">
        <f>IF(P45="　","　",IF(P45="2ヶ月","41㎥～100㎥",IF(P45="1.5ヶ月","31㎥～75㎥",IF(P45="1ヶ月","21㎥～50㎥",IF(P45="0.5ヶ月","11㎥～25㎥")))))</f>
        <v>41㎥～100㎥</v>
      </c>
      <c r="F40" s="41">
        <v>152</v>
      </c>
      <c r="G40" s="42" t="s">
        <v>9</v>
      </c>
      <c r="H40" s="43" t="s">
        <v>10</v>
      </c>
      <c r="I40" s="44">
        <f>IF(P45="　AB24",0,IF(P45="2ヶ月",Y57,IF(P45="1.5ヶ月",Z57,IF(P45="1ヶ月",AA57,IF(P45="0.5ヶ月",AB57)))))</f>
        <v>0</v>
      </c>
      <c r="J40" s="45" t="s">
        <v>17</v>
      </c>
      <c r="K40" s="46">
        <f t="shared" si="7"/>
        <v>0</v>
      </c>
      <c r="L40" s="47" t="s">
        <v>9</v>
      </c>
      <c r="M40" s="39"/>
      <c r="N40" s="212"/>
      <c r="O40" s="213"/>
      <c r="P40" s="214" t="s">
        <v>62</v>
      </c>
      <c r="Q40" s="129"/>
      <c r="R40" s="214"/>
      <c r="S40" s="214"/>
      <c r="T40" s="210"/>
      <c r="U40" s="210"/>
      <c r="V40" s="210"/>
      <c r="W40" s="211"/>
      <c r="X40" s="11"/>
      <c r="Y40" s="12"/>
      <c r="Z40" s="26"/>
      <c r="AA40" s="12"/>
      <c r="AB40" s="12"/>
      <c r="AC40" s="11"/>
      <c r="AD40" s="11"/>
      <c r="AE40" s="11"/>
      <c r="AF40" s="27">
        <v>40</v>
      </c>
      <c r="AG40" s="199">
        <v>15000</v>
      </c>
      <c r="AH40" s="199">
        <f t="shared" si="4"/>
        <v>11250</v>
      </c>
      <c r="AI40" s="199">
        <f t="shared" si="5"/>
        <v>7500</v>
      </c>
      <c r="AJ40" s="199">
        <f t="shared" si="6"/>
        <v>3750</v>
      </c>
      <c r="AK40" s="11"/>
      <c r="AL40" s="11" t="b">
        <f>IF(OR(P51="　",P45="　"),0,IF(AND(P51=40,P45="2ヶ月"),AG40,IF(AND(P51=40,P45="1.5ヶ月"),AH40,IF(AND(P51=40,P45="1ヶ月"),AI40,IF(AND(P51=40,P45="0.5ヶ月"),AJ40)))))</f>
        <v>0</v>
      </c>
      <c r="AM40" s="11"/>
      <c r="AN40" s="11"/>
      <c r="AO40" s="11"/>
      <c r="AP40" s="11"/>
      <c r="AQ40" s="11"/>
      <c r="AR40" s="11"/>
      <c r="AS40" s="11"/>
      <c r="AT40" s="11"/>
      <c r="AU40" s="11"/>
      <c r="AV40" s="11"/>
      <c r="AW40" s="11"/>
      <c r="AX40" s="11"/>
    </row>
    <row r="41" spans="2:50" ht="18.75" hidden="1" x14ac:dyDescent="0.4">
      <c r="B41" s="166"/>
      <c r="C41" s="29"/>
      <c r="D41" s="29"/>
      <c r="E41" s="40" t="str">
        <f>IF(P45="　","　",IF(P45="2ヶ月","101㎥～200㎥",IF(P45="1.5ヶ月","76㎥～150㎥",IF(P45="1ヶ月","51㎥～100㎥",IF(P45="0.5ヶ月","26㎥～50㎥")))))</f>
        <v>101㎥～200㎥</v>
      </c>
      <c r="F41" s="41">
        <v>174</v>
      </c>
      <c r="G41" s="42" t="s">
        <v>9</v>
      </c>
      <c r="H41" s="43" t="s">
        <v>10</v>
      </c>
      <c r="I41" s="48" t="str">
        <f>IF(P45="　",0,IF(P45="2ヶ月",Y58,IF(P45="1.5ヶ月",Z58,IF(P45="1ヶ月",AA58,IF(P45="0.5ヶ月",AB58)))))</f>
        <v>0</v>
      </c>
      <c r="J41" s="45" t="s">
        <v>17</v>
      </c>
      <c r="K41" s="46">
        <f t="shared" si="7"/>
        <v>0</v>
      </c>
      <c r="L41" s="47" t="s">
        <v>9</v>
      </c>
      <c r="M41" s="39"/>
      <c r="N41" s="215"/>
      <c r="P41" s="214" t="s">
        <v>63</v>
      </c>
      <c r="Q41" s="216"/>
      <c r="W41" s="217"/>
      <c r="X41" s="49"/>
      <c r="Y41" s="50"/>
      <c r="Z41" s="12"/>
      <c r="AA41" s="12"/>
      <c r="AB41" s="12"/>
      <c r="AC41" s="11"/>
      <c r="AD41" s="11"/>
      <c r="AE41" s="11"/>
      <c r="AF41" s="27">
        <v>50</v>
      </c>
      <c r="AG41" s="199">
        <v>24000</v>
      </c>
      <c r="AH41" s="199">
        <f t="shared" si="4"/>
        <v>18000</v>
      </c>
      <c r="AI41" s="199">
        <f t="shared" si="5"/>
        <v>12000</v>
      </c>
      <c r="AJ41" s="199">
        <f t="shared" si="6"/>
        <v>6000</v>
      </c>
      <c r="AK41" s="11"/>
      <c r="AL41" s="11" t="b">
        <f>IF(OR(P51="　",P45="　"),0,IF(AND(P51=50,P45="2ヶ月"),AG41,IF(AND(P51=50,P45="1.5ヶ月"),AH41,IF(AND(P51=50,P45="1ヶ月"),AI41,IF(AND(P51=50,P45="0.5ヶ月"),AJ41)))))</f>
        <v>0</v>
      </c>
      <c r="AM41" s="11"/>
      <c r="AN41" s="11"/>
      <c r="AO41" s="11"/>
      <c r="AP41" s="11"/>
      <c r="AQ41" s="11"/>
      <c r="AR41" s="11"/>
      <c r="AS41" s="11"/>
      <c r="AT41" s="11"/>
      <c r="AU41" s="11"/>
      <c r="AV41" s="11"/>
      <c r="AW41" s="11"/>
      <c r="AX41" s="11"/>
    </row>
    <row r="42" spans="2:50" ht="18.75" hidden="1" x14ac:dyDescent="0.15">
      <c r="B42" s="166"/>
      <c r="C42" s="29"/>
      <c r="D42" s="29"/>
      <c r="E42" s="40" t="str">
        <f>IF(P45="　","　",IF(P45="2ヶ月","201㎥～1000㎥",IF(P45="1.5ヶ月","151㎥～750㎥",IF(P45="1ヶ月","101㎥～500㎥",IF(P45="0.5ヶ月","51㎥～250㎥")))))</f>
        <v>201㎥～1000㎥</v>
      </c>
      <c r="F42" s="51">
        <v>196</v>
      </c>
      <c r="G42" s="52" t="s">
        <v>9</v>
      </c>
      <c r="H42" s="53" t="s">
        <v>10</v>
      </c>
      <c r="I42" s="44" t="str">
        <f>IF(P45="　",0,IF(P45="2ヶ月",Y59,IF(P45="1.5ヶ月",Z59,IF(P45="1ヶ月",AA59,IF(P45="0.5ヶ月",AB59)))))</f>
        <v>0</v>
      </c>
      <c r="J42" s="54" t="s">
        <v>17</v>
      </c>
      <c r="K42" s="55">
        <f t="shared" si="7"/>
        <v>0</v>
      </c>
      <c r="L42" s="56" t="s">
        <v>9</v>
      </c>
      <c r="M42" s="39"/>
      <c r="N42" s="218"/>
      <c r="O42" s="219" t="s">
        <v>64</v>
      </c>
      <c r="P42" s="219"/>
      <c r="Q42" s="219"/>
      <c r="R42" s="219"/>
      <c r="S42" s="9"/>
      <c r="T42" s="220"/>
      <c r="U42" s="220"/>
      <c r="V42" s="220"/>
      <c r="W42" s="221"/>
      <c r="X42" s="11"/>
      <c r="Y42" s="12"/>
      <c r="Z42" s="12"/>
      <c r="AA42" s="12"/>
      <c r="AB42" s="12"/>
      <c r="AC42" s="11"/>
      <c r="AD42" s="11"/>
      <c r="AE42" s="11"/>
      <c r="AF42" s="27">
        <v>75</v>
      </c>
      <c r="AG42" s="199">
        <v>31000</v>
      </c>
      <c r="AH42" s="199">
        <f t="shared" si="4"/>
        <v>23250</v>
      </c>
      <c r="AI42" s="199">
        <f t="shared" si="5"/>
        <v>15500</v>
      </c>
      <c r="AJ42" s="199">
        <f t="shared" si="6"/>
        <v>7750</v>
      </c>
      <c r="AK42" s="11"/>
      <c r="AL42" s="11" t="b">
        <f>IF(OR(P51="　",P45="　"),0,IF(AND(P51=75,P45="2ヶ月"),AG42,IF(AND(P51=75,P45="1.5ヶ月"),AH42,IF(AND(P51=75,P45="1ヶ月"),AI42,IF(AND(P51=75,P45="0.5ヶ月"),AJ42)))))</f>
        <v>0</v>
      </c>
      <c r="AM42" s="11"/>
      <c r="AN42" s="11"/>
      <c r="AO42" s="11"/>
      <c r="AP42" s="11"/>
      <c r="AQ42" s="11"/>
      <c r="AR42" s="11"/>
      <c r="AS42" s="11"/>
      <c r="AT42" s="11"/>
      <c r="AU42" s="11"/>
      <c r="AV42" s="11"/>
      <c r="AW42" s="11"/>
      <c r="AX42" s="11"/>
    </row>
    <row r="43" spans="2:50" ht="18.75" hidden="1" x14ac:dyDescent="0.15">
      <c r="B43" s="166"/>
      <c r="C43" s="29"/>
      <c r="D43" s="29"/>
      <c r="E43" s="40" t="str">
        <f>IF(P45="　","　",IF(P45="2ヶ月","1001㎥～",IF(P45="1.5ヶ月","751㎥～",IF(P45="1ヶ月","501㎥～",IF(P45="0.5ヶ月","251㎥～")))))</f>
        <v>1001㎥～</v>
      </c>
      <c r="F43" s="201">
        <v>218</v>
      </c>
      <c r="G43" s="202" t="s">
        <v>9</v>
      </c>
      <c r="H43" s="203" t="s">
        <v>10</v>
      </c>
      <c r="I43" s="44" t="str">
        <f>IF(P45="　",0,IF(P45="2ヶ月",Y60,IF(P45="1.5ヶ月",Z60,IF(P45="1ヶ月",AA60,IF(P45="0.5ヶ月",AB60)))))</f>
        <v>0</v>
      </c>
      <c r="J43" s="205" t="s">
        <v>17</v>
      </c>
      <c r="K43" s="206">
        <f t="shared" si="7"/>
        <v>0</v>
      </c>
      <c r="L43" s="207" t="s">
        <v>9</v>
      </c>
      <c r="M43" s="39"/>
      <c r="N43" s="218"/>
      <c r="O43" s="219"/>
      <c r="P43" s="219"/>
      <c r="Q43" s="219"/>
      <c r="R43" s="219"/>
      <c r="S43" s="9"/>
      <c r="T43" s="220"/>
      <c r="U43" s="220"/>
      <c r="V43" s="220"/>
      <c r="W43" s="221"/>
      <c r="X43" s="11"/>
      <c r="Y43" s="12"/>
      <c r="Z43" s="12"/>
      <c r="AA43" s="12"/>
      <c r="AB43" s="12"/>
      <c r="AC43" s="11"/>
      <c r="AD43" s="11"/>
      <c r="AE43" s="11"/>
      <c r="AF43" s="27">
        <v>100</v>
      </c>
      <c r="AG43" s="199">
        <v>38000</v>
      </c>
      <c r="AH43" s="199">
        <f t="shared" si="4"/>
        <v>28500</v>
      </c>
      <c r="AI43" s="199">
        <f t="shared" si="5"/>
        <v>19000</v>
      </c>
      <c r="AJ43" s="199">
        <f t="shared" si="6"/>
        <v>9500</v>
      </c>
      <c r="AK43" s="11"/>
      <c r="AL43" s="11" t="b">
        <f>IF(OR(P51="　",P45="　"),0,IF(AND(P51=100,P45="2ヶ月"),AG43,IF(AND(P51=100,P45="1.5ヶ月"),AH43,IF(AND(P51=100,P45="1ヶ月"),AI43,IF(AND(P51=100,P45="0.5ヶ月"),AJ43)))))</f>
        <v>0</v>
      </c>
      <c r="AM43" s="11"/>
      <c r="AN43" s="11"/>
      <c r="AO43" s="11"/>
      <c r="AP43" s="11"/>
      <c r="AQ43" s="11"/>
      <c r="AR43" s="11"/>
      <c r="AS43" s="11"/>
      <c r="AT43" s="11"/>
      <c r="AU43" s="11"/>
      <c r="AV43" s="11"/>
      <c r="AW43" s="11"/>
      <c r="AX43" s="11"/>
    </row>
    <row r="44" spans="2:50" ht="18.75" hidden="1" x14ac:dyDescent="0.15">
      <c r="B44" s="166"/>
      <c r="C44" s="29"/>
      <c r="D44" s="57"/>
      <c r="E44" s="58" t="s">
        <v>20</v>
      </c>
      <c r="F44" s="59"/>
      <c r="G44" s="60"/>
      <c r="H44" s="61"/>
      <c r="I44" s="62"/>
      <c r="J44" s="61"/>
      <c r="K44" s="63">
        <f>SUM(K38:K43)</f>
        <v>2980</v>
      </c>
      <c r="L44" s="64" t="s">
        <v>21</v>
      </c>
      <c r="M44" s="24"/>
      <c r="N44" s="218"/>
      <c r="O44" s="219"/>
      <c r="P44" s="219"/>
      <c r="Q44" s="219"/>
      <c r="R44" s="219"/>
      <c r="S44" s="9"/>
      <c r="T44" s="9"/>
      <c r="U44" s="210"/>
      <c r="V44" s="210"/>
      <c r="W44" s="211"/>
      <c r="X44" s="11"/>
      <c r="Y44" s="12"/>
      <c r="Z44" s="12"/>
      <c r="AA44" s="12"/>
      <c r="AB44" s="12"/>
      <c r="AC44" s="11"/>
      <c r="AD44" s="11"/>
      <c r="AE44" s="11"/>
      <c r="AF44" s="11">
        <v>150</v>
      </c>
      <c r="AG44" s="199">
        <v>45000</v>
      </c>
      <c r="AH44" s="199">
        <f t="shared" si="4"/>
        <v>33750</v>
      </c>
      <c r="AI44" s="199">
        <f t="shared" si="5"/>
        <v>22500</v>
      </c>
      <c r="AJ44" s="199">
        <f t="shared" si="6"/>
        <v>11250</v>
      </c>
      <c r="AK44" s="11"/>
      <c r="AL44" s="11" t="b">
        <f>IF(OR(P51="　",P45="　"),0,IF(AND(P51=150,P45="2ヶ月"),AG44,IF(AND(P51=150,P45="1.5ヶ月"),AH44,IF(AND(P51=150,P45="1ヶ月"),AI44,IF(AND(P51=150,P45="0.5ヶ月"),AJ44)))))</f>
        <v>0</v>
      </c>
      <c r="AM44" s="11"/>
      <c r="AN44" s="11"/>
      <c r="AO44" s="11"/>
      <c r="AP44" s="11"/>
      <c r="AQ44" s="11"/>
      <c r="AR44" s="11"/>
      <c r="AS44" s="11"/>
      <c r="AT44" s="11"/>
      <c r="AU44" s="11"/>
      <c r="AV44" s="11"/>
      <c r="AW44" s="11"/>
      <c r="AX44" s="11"/>
    </row>
    <row r="45" spans="2:50" ht="19.5" hidden="1" thickBot="1" x14ac:dyDescent="0.2">
      <c r="B45" s="166"/>
      <c r="C45" s="29"/>
      <c r="D45" s="222" t="s">
        <v>65</v>
      </c>
      <c r="E45" s="66"/>
      <c r="F45" s="67"/>
      <c r="G45" s="68"/>
      <c r="H45" s="69"/>
      <c r="I45" s="70"/>
      <c r="J45" s="71"/>
      <c r="K45" s="72">
        <f>K37+K44</f>
        <v>5580</v>
      </c>
      <c r="L45" s="73" t="s">
        <v>24</v>
      </c>
      <c r="M45" s="24"/>
      <c r="N45" s="218"/>
      <c r="O45" s="220"/>
      <c r="P45" s="223" t="str">
        <f>P73</f>
        <v>2ヶ月</v>
      </c>
      <c r="Q45" s="39"/>
      <c r="R45" s="224" t="s">
        <v>66</v>
      </c>
      <c r="S45" s="225" t="s">
        <v>67</v>
      </c>
      <c r="T45" s="9"/>
      <c r="U45" s="220"/>
      <c r="V45" s="220"/>
      <c r="W45" s="221"/>
      <c r="X45" s="11"/>
      <c r="Y45" s="12"/>
      <c r="Z45" s="12"/>
      <c r="AA45" s="12"/>
      <c r="AB45" s="12"/>
      <c r="AC45" s="11"/>
      <c r="AD45" s="11"/>
      <c r="AE45" s="11"/>
      <c r="AF45" s="11"/>
      <c r="AG45" s="11"/>
      <c r="AH45" s="11"/>
      <c r="AI45" s="11"/>
      <c r="AJ45" s="11"/>
      <c r="AK45" s="11"/>
      <c r="AL45" s="11"/>
      <c r="AM45" s="11"/>
      <c r="AN45" s="11"/>
      <c r="AO45" s="11"/>
      <c r="AP45" s="11"/>
      <c r="AQ45" s="11"/>
      <c r="AR45" s="11"/>
      <c r="AS45" s="11"/>
      <c r="AT45" s="11"/>
      <c r="AU45" s="11"/>
      <c r="AV45" s="11"/>
      <c r="AW45" s="11"/>
      <c r="AX45" s="11"/>
    </row>
    <row r="46" spans="2:50" ht="18.75" hidden="1" x14ac:dyDescent="0.15">
      <c r="B46" s="166"/>
      <c r="C46" s="29"/>
      <c r="D46" s="74" t="s">
        <v>26</v>
      </c>
      <c r="E46" s="75"/>
      <c r="F46" s="67"/>
      <c r="G46" s="68"/>
      <c r="H46" s="69"/>
      <c r="I46" s="70"/>
      <c r="J46" s="71"/>
      <c r="K46" s="72">
        <f>ROUNDDOWN(K45*0.1,0)</f>
        <v>558</v>
      </c>
      <c r="L46" s="73" t="s">
        <v>27</v>
      </c>
      <c r="M46" s="24"/>
      <c r="N46" s="218"/>
      <c r="O46" s="220"/>
      <c r="P46" s="220"/>
      <c r="Q46" s="39"/>
      <c r="R46" s="224" t="s">
        <v>68</v>
      </c>
      <c r="S46" s="225" t="s">
        <v>69</v>
      </c>
      <c r="T46" s="210"/>
      <c r="U46" s="210"/>
      <c r="V46" s="210"/>
      <c r="W46" s="211"/>
      <c r="X46" s="11"/>
      <c r="Y46" s="12"/>
      <c r="Z46" s="12"/>
      <c r="AA46" s="12"/>
      <c r="AB46" s="12"/>
      <c r="AC46" s="11"/>
      <c r="AD46" s="11"/>
      <c r="AE46" s="11"/>
      <c r="AF46" s="11"/>
      <c r="AG46" s="11"/>
      <c r="AH46" s="11"/>
      <c r="AI46" s="11"/>
      <c r="AJ46" s="11"/>
      <c r="AK46" s="11"/>
      <c r="AL46" s="11"/>
      <c r="AM46" s="11"/>
      <c r="AN46" s="11"/>
      <c r="AO46" s="11"/>
      <c r="AP46" s="11"/>
      <c r="AQ46" s="11"/>
      <c r="AR46" s="11"/>
      <c r="AS46" s="11"/>
      <c r="AT46" s="11"/>
      <c r="AU46" s="11"/>
      <c r="AV46" s="11"/>
      <c r="AW46" s="11"/>
      <c r="AX46" s="11"/>
    </row>
    <row r="47" spans="2:50" ht="19.5" hidden="1" thickBot="1" x14ac:dyDescent="0.2">
      <c r="B47" s="166"/>
      <c r="C47" s="76"/>
      <c r="D47" s="77" t="s">
        <v>28</v>
      </c>
      <c r="E47" s="78"/>
      <c r="F47" s="79"/>
      <c r="G47" s="80"/>
      <c r="H47" s="81"/>
      <c r="I47" s="82"/>
      <c r="J47" s="83"/>
      <c r="K47" s="84">
        <f>K45+K46</f>
        <v>6138</v>
      </c>
      <c r="L47" s="85" t="s">
        <v>29</v>
      </c>
      <c r="M47" s="24"/>
      <c r="N47" s="218"/>
      <c r="O47" s="220"/>
      <c r="P47" s="220"/>
      <c r="Q47" s="39"/>
      <c r="R47" s="226" t="s">
        <v>70</v>
      </c>
      <c r="S47" s="225" t="s">
        <v>71</v>
      </c>
      <c r="T47" s="220"/>
      <c r="U47" s="210"/>
      <c r="V47" s="210"/>
      <c r="W47" s="211"/>
      <c r="X47" s="11"/>
      <c r="Y47" s="50"/>
      <c r="Z47" s="12"/>
      <c r="AA47" s="12"/>
      <c r="AB47" s="12"/>
      <c r="AC47" s="11"/>
      <c r="AD47" s="11"/>
      <c r="AE47" s="11"/>
      <c r="AF47" s="11"/>
      <c r="AG47" s="11"/>
      <c r="AH47" s="11"/>
      <c r="AI47" s="11"/>
      <c r="AJ47" s="11"/>
      <c r="AK47" s="11"/>
      <c r="AL47" s="11"/>
      <c r="AM47" s="11"/>
      <c r="AN47" s="11"/>
      <c r="AO47" s="11"/>
      <c r="AP47" s="11"/>
      <c r="AQ47" s="11"/>
      <c r="AR47" s="11"/>
      <c r="AS47" s="11"/>
      <c r="AT47" s="11"/>
      <c r="AU47" s="11"/>
      <c r="AV47" s="11"/>
      <c r="AW47" s="11"/>
      <c r="AX47" s="11"/>
    </row>
    <row r="48" spans="2:50" ht="19.5" hidden="1" thickBot="1" x14ac:dyDescent="0.2">
      <c r="B48" s="227"/>
      <c r="C48" s="110" t="s">
        <v>37</v>
      </c>
      <c r="D48" s="111"/>
      <c r="E48" s="111"/>
      <c r="F48" s="112"/>
      <c r="G48" s="113"/>
      <c r="H48" s="114"/>
      <c r="I48" s="115"/>
      <c r="J48" s="116"/>
      <c r="K48" s="117">
        <f>K47</f>
        <v>6138</v>
      </c>
      <c r="L48" s="118" t="s">
        <v>38</v>
      </c>
      <c r="M48" s="24"/>
      <c r="N48" s="218"/>
      <c r="O48" s="220"/>
      <c r="P48" s="220"/>
      <c r="Q48" s="39"/>
      <c r="R48" s="224" t="s">
        <v>72</v>
      </c>
      <c r="S48" s="225" t="s">
        <v>73</v>
      </c>
      <c r="T48" s="210"/>
      <c r="U48" s="210"/>
      <c r="V48" s="210"/>
      <c r="W48" s="211"/>
      <c r="X48" s="11"/>
      <c r="Y48" s="50"/>
      <c r="Z48" s="12"/>
      <c r="AA48" s="12"/>
      <c r="AB48" s="12"/>
      <c r="AC48" s="11"/>
      <c r="AD48" s="11"/>
      <c r="AE48" s="11"/>
      <c r="AF48" s="11"/>
      <c r="AG48" s="11"/>
      <c r="AH48" s="11"/>
      <c r="AI48" s="11"/>
      <c r="AJ48" s="11"/>
      <c r="AK48" s="11"/>
      <c r="AL48" s="11"/>
      <c r="AM48" s="11"/>
      <c r="AN48" s="11"/>
      <c r="AO48" s="11"/>
      <c r="AP48" s="11"/>
      <c r="AQ48" s="11"/>
      <c r="AR48" s="11"/>
      <c r="AS48" s="11"/>
      <c r="AT48" s="11"/>
      <c r="AU48" s="11"/>
      <c r="AV48" s="11"/>
      <c r="AW48" s="11"/>
      <c r="AX48" s="11"/>
    </row>
    <row r="49" spans="2:50" ht="18.75" hidden="1" x14ac:dyDescent="0.4">
      <c r="B49" s="121" t="s">
        <v>43</v>
      </c>
      <c r="C49" s="122" t="s">
        <v>3</v>
      </c>
      <c r="D49" s="123"/>
      <c r="E49" s="17" t="str">
        <f>IF(P45="　","　",IF(P45="2ヶ月","0㎥～16㎥",IF(P45="1.5ヶ月","0㎥～12㎥",IF(P45="1ヶ月","0㎥～8㎥",IF(P45="0.5ヶ月","0㎥～4㎥")))))</f>
        <v>0㎥～16㎥</v>
      </c>
      <c r="F49" s="124"/>
      <c r="G49" s="125"/>
      <c r="H49" s="126"/>
      <c r="I49" s="21">
        <f>IF(P45="　",0,IF(P45="2ヶ月",MAX(16),IF(P45="1.5ヶ月",MAX(12),IF(P45="1ヶ月",MAX(8),IF(P45="0.5ヶ月",MAX(4))))))</f>
        <v>16</v>
      </c>
      <c r="J49" s="125" t="s">
        <v>4</v>
      </c>
      <c r="K49" s="127">
        <f>IF(OR(OR(P55="　",P55="使用していない"),P45="　"),0,IF(AND(P55="使用している",P45="2ヶ月"),AB52,IF(AND(P55="使用している",P45="1.5ヶ月"),AC52,IF(AND(P55="使用している",P45="1ヶ月"),AD52,IF(AND(P55="使用している",P45="0.5ヶ月"),AE52)))))</f>
        <v>1180</v>
      </c>
      <c r="L49" s="128" t="s">
        <v>45</v>
      </c>
      <c r="M49" s="24"/>
      <c r="N49" s="218"/>
      <c r="O49" s="219" t="s">
        <v>74</v>
      </c>
      <c r="P49" s="219"/>
      <c r="Q49" s="219"/>
      <c r="R49" s="219"/>
      <c r="S49" s="210"/>
      <c r="T49" s="9"/>
      <c r="U49" s="210"/>
      <c r="V49" s="210"/>
      <c r="W49" s="211"/>
      <c r="X49" s="11"/>
      <c r="Y49" s="12"/>
      <c r="Z49" s="12"/>
      <c r="AA49" s="12"/>
      <c r="AB49" s="12"/>
      <c r="AC49" s="11"/>
      <c r="AD49" s="11"/>
      <c r="AE49" s="11"/>
      <c r="AF49" s="11"/>
      <c r="AG49" s="11"/>
      <c r="AH49" s="11"/>
      <c r="AI49" s="11"/>
      <c r="AJ49" s="11"/>
      <c r="AK49" s="11"/>
      <c r="AL49" s="11"/>
      <c r="AM49" s="11"/>
      <c r="AN49" s="11"/>
      <c r="AO49" s="11"/>
      <c r="AP49" s="11"/>
      <c r="AQ49" s="11"/>
      <c r="AR49" s="11"/>
      <c r="AS49" s="11"/>
      <c r="AT49" s="11"/>
      <c r="AU49" s="11"/>
      <c r="AV49" s="11"/>
      <c r="AW49" s="11"/>
      <c r="AX49" s="11"/>
    </row>
    <row r="50" spans="2:50" ht="18.75" hidden="1" x14ac:dyDescent="0.4">
      <c r="B50" s="130"/>
      <c r="C50" s="131" t="s">
        <v>8</v>
      </c>
      <c r="D50" s="132"/>
      <c r="E50" s="31" t="str">
        <f>IF(P45="　","　",IF(P45="2ヶ月","17㎥～60㎥",IF(P45="1.5ヶ月","13㎥～45㎥",IF(P45="1ヶ月","9㎥～30㎥",IF(P45="0.5ヶ月","5㎥～15㎥")))))</f>
        <v>17㎥～60㎥</v>
      </c>
      <c r="F50" s="133">
        <f>IF(P55="　",0,IF(P55="使用している",105,IF(P55="使用していない",0,)))</f>
        <v>105</v>
      </c>
      <c r="G50" s="134" t="s">
        <v>9</v>
      </c>
      <c r="H50" s="135" t="s">
        <v>60</v>
      </c>
      <c r="I50" s="35">
        <f>IF(P45="　",0,IF(P45="2ヶ月",Y63,IF(P45="1.5ヶ月",Z63,IF(P45="1ヶ月",AA63,IF(P45="0.5ヶ月",AB63)))))</f>
        <v>24</v>
      </c>
      <c r="J50" s="136" t="s">
        <v>75</v>
      </c>
      <c r="K50" s="137">
        <f t="shared" ref="K50:K56" si="8">F50*I50</f>
        <v>2520</v>
      </c>
      <c r="L50" s="138" t="s">
        <v>9</v>
      </c>
      <c r="M50" s="24"/>
      <c r="N50" s="228"/>
      <c r="O50" s="219"/>
      <c r="P50" s="219"/>
      <c r="Q50" s="219"/>
      <c r="R50" s="219"/>
      <c r="S50" s="9"/>
      <c r="T50" s="9"/>
      <c r="U50" s="214"/>
      <c r="V50" s="214"/>
      <c r="W50" s="229"/>
      <c r="X50" s="11"/>
      <c r="Y50" s="50"/>
      <c r="Z50" s="12"/>
      <c r="AA50" s="12"/>
      <c r="AB50" s="12"/>
      <c r="AC50" s="11"/>
      <c r="AD50" s="11"/>
      <c r="AE50" s="11"/>
      <c r="AF50" s="11"/>
      <c r="AG50" s="11"/>
      <c r="AH50" s="11"/>
      <c r="AI50" s="11"/>
      <c r="AJ50" s="11"/>
      <c r="AK50" s="11"/>
      <c r="AL50" s="11"/>
      <c r="AM50" s="11"/>
      <c r="AN50" s="11"/>
      <c r="AO50" s="11"/>
      <c r="AP50" s="11"/>
      <c r="AQ50" s="11"/>
      <c r="AR50" s="11"/>
      <c r="AS50" s="11"/>
      <c r="AT50" s="11"/>
      <c r="AU50" s="11"/>
      <c r="AV50" s="11"/>
      <c r="AW50" s="11"/>
      <c r="AX50" s="11"/>
    </row>
    <row r="51" spans="2:50" ht="19.5" hidden="1" thickBot="1" x14ac:dyDescent="0.45">
      <c r="B51" s="130"/>
      <c r="C51" s="139"/>
      <c r="D51" s="140"/>
      <c r="E51" s="40" t="str">
        <f>IF(P45="　","　",IF(P45="2ヶ月","61㎥～100㎥",IF(P45="1.5ヶ月","46㎥～75㎥",IF(P45="1ヶ月","31㎥～50㎥",IF(P45="0.5ヶ月","16㎥～25㎥")))))</f>
        <v>61㎥～100㎥</v>
      </c>
      <c r="F51" s="141">
        <f>IF(P55="　",0,IF(P55="使用している",125,IF(P55="使用していない",0,)))</f>
        <v>125</v>
      </c>
      <c r="G51" s="142" t="s">
        <v>9</v>
      </c>
      <c r="H51" s="143" t="s">
        <v>10</v>
      </c>
      <c r="I51" s="44" t="str">
        <f>IF(P45="　",0,IF(P45="2ヶ月",Y64,IF(P45="1.5ヶ月",Z64,IF(P45="1ヶ月",AA64,IF(P45="0.5ヶ月",AB64)))))</f>
        <v>0</v>
      </c>
      <c r="J51" s="144" t="s">
        <v>17</v>
      </c>
      <c r="K51" s="145">
        <f t="shared" si="8"/>
        <v>0</v>
      </c>
      <c r="L51" s="146" t="s">
        <v>9</v>
      </c>
      <c r="M51" s="24"/>
      <c r="N51" s="215"/>
      <c r="O51" s="210"/>
      <c r="P51" s="223">
        <f>P85</f>
        <v>13</v>
      </c>
      <c r="Q51" s="24" t="s">
        <v>76</v>
      </c>
      <c r="R51" s="230" t="s">
        <v>77</v>
      </c>
      <c r="S51" s="230"/>
      <c r="T51" s="230"/>
      <c r="U51" s="230"/>
      <c r="V51" s="230"/>
      <c r="W51" s="231"/>
      <c r="X51" s="11"/>
      <c r="Y51" s="12"/>
      <c r="Z51" s="12"/>
      <c r="AA51" s="12"/>
      <c r="AB51" s="119" t="s">
        <v>39</v>
      </c>
      <c r="AC51" s="120" t="s">
        <v>40</v>
      </c>
      <c r="AD51" s="120" t="s">
        <v>41</v>
      </c>
      <c r="AE51" s="120" t="s">
        <v>42</v>
      </c>
      <c r="AF51" s="11"/>
      <c r="AG51" s="11"/>
      <c r="AH51" s="11"/>
      <c r="AI51" s="11"/>
      <c r="AJ51" s="11"/>
      <c r="AK51" s="11"/>
      <c r="AL51" s="11"/>
      <c r="AM51" s="11"/>
      <c r="AN51" s="11"/>
      <c r="AO51" s="11"/>
      <c r="AP51" s="11"/>
      <c r="AQ51" s="11"/>
      <c r="AR51" s="11"/>
      <c r="AS51" s="11"/>
      <c r="AT51" s="11"/>
      <c r="AU51" s="11"/>
      <c r="AV51" s="11"/>
      <c r="AW51" s="11"/>
      <c r="AX51" s="11"/>
    </row>
    <row r="52" spans="2:50" ht="18.75" hidden="1" x14ac:dyDescent="0.4">
      <c r="B52" s="130"/>
      <c r="C52" s="139"/>
      <c r="D52" s="140"/>
      <c r="E52" s="40" t="str">
        <f>IF(P45="　","　",IF(P45="2ヶ月","101㎥～200㎥",IF(P45="1.5ヶ月","76㎥～150㎥",IF(P45="1ヶ月","51㎥～100㎥",IF(P45="0.5ヶ月","26㎥～50㎥")))))</f>
        <v>101㎥～200㎥</v>
      </c>
      <c r="F52" s="147">
        <f>IF(P55="　",0,IF(P55="使用している",135,IF(P55="使用していない",0,)))</f>
        <v>135</v>
      </c>
      <c r="G52" s="142" t="s">
        <v>9</v>
      </c>
      <c r="H52" s="143" t="s">
        <v>10</v>
      </c>
      <c r="I52" s="44" t="str">
        <f>IF(P45="　",0,IF(P45="2ヶ月",Y65,IF(P45="1.5ヶ月",Z65,IF(P45="1ヶ月",AA65,IF(P45="0.5ヶ月",AB65)))))</f>
        <v>0</v>
      </c>
      <c r="J52" s="144" t="s">
        <v>17</v>
      </c>
      <c r="K52" s="148">
        <f t="shared" si="8"/>
        <v>0</v>
      </c>
      <c r="L52" s="146" t="s">
        <v>9</v>
      </c>
      <c r="M52" s="129"/>
      <c r="N52" s="215"/>
      <c r="O52" s="210"/>
      <c r="P52" s="232"/>
      <c r="Q52" s="39"/>
      <c r="R52" s="210" t="s">
        <v>78</v>
      </c>
      <c r="S52" s="210"/>
      <c r="T52" s="210"/>
      <c r="U52" s="9"/>
      <c r="V52" s="9"/>
      <c r="W52" s="217"/>
      <c r="X52" s="11"/>
      <c r="Y52" s="12" t="s">
        <v>46</v>
      </c>
      <c r="Z52" s="50" t="s">
        <v>47</v>
      </c>
      <c r="AA52" s="12"/>
      <c r="AB52" s="12">
        <v>1180</v>
      </c>
      <c r="AC52" s="11">
        <f>AB52*3/4</f>
        <v>885</v>
      </c>
      <c r="AD52" s="11">
        <f>AB52*2/4</f>
        <v>590</v>
      </c>
      <c r="AE52" s="11">
        <f>AB52/4</f>
        <v>295</v>
      </c>
      <c r="AF52" s="11"/>
      <c r="AG52" s="11"/>
      <c r="AH52" s="11"/>
      <c r="AI52" s="11"/>
      <c r="AJ52" s="11"/>
      <c r="AK52" s="11"/>
      <c r="AL52" s="11"/>
      <c r="AM52" s="11"/>
      <c r="AN52" s="11"/>
      <c r="AO52" s="11"/>
      <c r="AP52" s="11"/>
      <c r="AQ52" s="11"/>
      <c r="AR52" s="11"/>
      <c r="AS52" s="11"/>
      <c r="AT52" s="11"/>
      <c r="AU52" s="11"/>
      <c r="AV52" s="11"/>
      <c r="AW52" s="11"/>
      <c r="AX52" s="11"/>
    </row>
    <row r="53" spans="2:50" ht="18.75" hidden="1" x14ac:dyDescent="0.4">
      <c r="B53" s="130"/>
      <c r="C53" s="139"/>
      <c r="D53" s="140"/>
      <c r="E53" s="40" t="str">
        <f>IF(P45="　","　",IF(P45="2ヶ月","201㎥～400㎥",IF(P45="1.5ヶ月","151㎥～300㎥",IF(P45="1ヶ月","101㎥～200㎥",IF(P45="0.5ヶ月","51㎥～100㎥")))))</f>
        <v>201㎥～400㎥</v>
      </c>
      <c r="F53" s="149">
        <f>IF(P55="　",0,IF(P55="使用している",150,IF(P55="使用していない",0,)))</f>
        <v>150</v>
      </c>
      <c r="G53" s="142" t="s">
        <v>9</v>
      </c>
      <c r="H53" s="143" t="s">
        <v>60</v>
      </c>
      <c r="I53" s="44" t="str">
        <f>IF(P45="　",0,IF(P45="2ヶ月",Y66,IF(P45="1.5ヶ月",Z66,IF(P45="1ヶ月",AA66,IF(P45="0.5ヶ月",AB66)))))</f>
        <v>0</v>
      </c>
      <c r="J53" s="144" t="s">
        <v>17</v>
      </c>
      <c r="K53" s="150">
        <f t="shared" si="8"/>
        <v>0</v>
      </c>
      <c r="L53" s="146" t="s">
        <v>9</v>
      </c>
      <c r="M53" s="126"/>
      <c r="N53" s="228"/>
      <c r="O53" s="219" t="s">
        <v>79</v>
      </c>
      <c r="P53" s="219"/>
      <c r="Q53" s="219"/>
      <c r="R53" s="219"/>
      <c r="S53" s="210"/>
      <c r="T53" s="9"/>
      <c r="U53" s="214"/>
      <c r="V53" s="214"/>
      <c r="W53" s="229"/>
      <c r="X53" s="11"/>
      <c r="Y53" s="12"/>
      <c r="Z53" s="12" t="s">
        <v>48</v>
      </c>
      <c r="AA53" s="12"/>
      <c r="AB53" s="12">
        <v>0</v>
      </c>
      <c r="AC53" s="11">
        <v>0</v>
      </c>
      <c r="AD53" s="11">
        <v>0</v>
      </c>
      <c r="AE53" s="11">
        <v>0</v>
      </c>
      <c r="AF53" s="11"/>
      <c r="AG53" s="11"/>
      <c r="AH53" s="11"/>
      <c r="AI53" s="11"/>
      <c r="AJ53" s="11"/>
      <c r="AK53" s="11"/>
      <c r="AL53" s="11"/>
      <c r="AM53" s="11"/>
      <c r="AN53" s="11"/>
      <c r="AO53" s="11"/>
      <c r="AP53" s="11"/>
      <c r="AQ53" s="11"/>
      <c r="AR53" s="11"/>
      <c r="AS53" s="11"/>
      <c r="AT53" s="11"/>
      <c r="AU53" s="11"/>
      <c r="AV53" s="11"/>
      <c r="AW53" s="11"/>
      <c r="AX53" s="11"/>
    </row>
    <row r="54" spans="2:50" ht="18.75" hidden="1" x14ac:dyDescent="0.4">
      <c r="B54" s="130"/>
      <c r="C54" s="139"/>
      <c r="D54" s="140"/>
      <c r="E54" s="40" t="str">
        <f>IF(P45="　","　",IF(P45="2ヶ月","401㎥～1000㎥",IF(P45="1.5ヶ月","301㎥～750㎥",IF(P45="1ヶ月","201㎥～500㎥",IF(P45="0.5ヶ月","101㎥～250㎥")))))</f>
        <v>401㎥～1000㎥</v>
      </c>
      <c r="F54" s="141">
        <f>IF(P55="　",0,IF(P55="使用している",160,IF(P55="使用していない",0,)))</f>
        <v>160</v>
      </c>
      <c r="G54" s="142" t="s">
        <v>9</v>
      </c>
      <c r="H54" s="143" t="s">
        <v>10</v>
      </c>
      <c r="I54" s="44" t="str">
        <f>IF(P45="　",0,IF(P45="2ヶ月",Y67,IF(P45="1.5ヶ月",Z67,IF(P45="1ヶ月",AA67,IF(P45="0.5ヶ月",AB67)))))</f>
        <v>0</v>
      </c>
      <c r="J54" s="144" t="s">
        <v>17</v>
      </c>
      <c r="K54" s="145">
        <f t="shared" si="8"/>
        <v>0</v>
      </c>
      <c r="L54" s="146" t="s">
        <v>9</v>
      </c>
      <c r="M54" s="126"/>
      <c r="N54" s="228"/>
      <c r="O54" s="219"/>
      <c r="P54" s="219"/>
      <c r="Q54" s="219"/>
      <c r="R54" s="219"/>
      <c r="S54" s="210"/>
      <c r="T54" s="214"/>
      <c r="U54" s="214"/>
      <c r="V54" s="214"/>
      <c r="W54" s="229"/>
      <c r="X54" s="11"/>
      <c r="Y54" s="119" t="s">
        <v>39</v>
      </c>
      <c r="Z54" s="119" t="s">
        <v>40</v>
      </c>
      <c r="AA54" s="233" t="s">
        <v>41</v>
      </c>
      <c r="AB54" s="119" t="s">
        <v>42</v>
      </c>
      <c r="AC54" s="11"/>
      <c r="AD54" s="11"/>
      <c r="AE54" s="11"/>
      <c r="AF54" s="11"/>
      <c r="AG54" s="11"/>
      <c r="AH54" s="11"/>
      <c r="AI54" s="11"/>
      <c r="AJ54" s="11"/>
      <c r="AK54" s="11"/>
      <c r="AL54" s="11"/>
      <c r="AM54" s="11"/>
      <c r="AN54" s="11"/>
      <c r="AO54" s="11"/>
      <c r="AP54" s="11"/>
      <c r="AQ54" s="11"/>
      <c r="AR54" s="11"/>
      <c r="AS54" s="11"/>
      <c r="AT54" s="11"/>
      <c r="AU54" s="11"/>
      <c r="AV54" s="11"/>
      <c r="AW54" s="11"/>
      <c r="AX54" s="11"/>
    </row>
    <row r="55" spans="2:50" ht="19.5" hidden="1" thickBot="1" x14ac:dyDescent="0.45">
      <c r="B55" s="130"/>
      <c r="C55" s="139"/>
      <c r="D55" s="140"/>
      <c r="E55" s="40" t="str">
        <f>IF(P45="　","　",IF(P45="2ヶ月","1001㎥～2000㎥",IF(P45="1.5ヶ月","751㎥～1500㎥",IF(P45="1ヶ月","501㎥～1000㎥",IF(P45="0.5ヶ月","251㎥～500㎥")))))</f>
        <v>1001㎥～2000㎥</v>
      </c>
      <c r="F55" s="141">
        <f>IF(P55="　",0,IF(P55="使用している",170,IF(P55="使用していない",0,)))</f>
        <v>170</v>
      </c>
      <c r="G55" s="142" t="s">
        <v>9</v>
      </c>
      <c r="H55" s="143" t="s">
        <v>60</v>
      </c>
      <c r="I55" s="44" t="str">
        <f>IF(P45="　",0,IF(P45="2ヶ月",Y68,IF(P45="1.5ヶ月",Z68,IF(P45="1ヶ月",AA68,IF(P45="0.5ヶ月",AB68)))))</f>
        <v>0</v>
      </c>
      <c r="J55" s="144" t="s">
        <v>17</v>
      </c>
      <c r="K55" s="145">
        <f t="shared" si="8"/>
        <v>0</v>
      </c>
      <c r="L55" s="146" t="s">
        <v>9</v>
      </c>
      <c r="M55" s="126"/>
      <c r="N55" s="228"/>
      <c r="O55" s="210"/>
      <c r="P55" s="234" t="str">
        <f>P89</f>
        <v>使用している</v>
      </c>
      <c r="Q55" s="39"/>
      <c r="R55" s="210" t="s">
        <v>80</v>
      </c>
      <c r="S55" s="9"/>
      <c r="T55" s="214"/>
      <c r="U55" s="214"/>
      <c r="V55" s="214"/>
      <c r="W55" s="229"/>
      <c r="X55" s="11"/>
      <c r="Y55" s="151">
        <f>IF(MIN(8,P59-12)&lt;0,"0",MIN(8,P59-12))</f>
        <v>8</v>
      </c>
      <c r="Z55" s="151">
        <f>IF(MIN(6,P59-9)&lt;0,"0",MIN(6,P59-9))</f>
        <v>6</v>
      </c>
      <c r="AA55" s="151">
        <f>IF(MIN(4,P59-6)&lt;0,"0",MIN(4,P59-6))</f>
        <v>4</v>
      </c>
      <c r="AB55" s="151">
        <f>IF(MIN(2,P59-3)&lt;0,"0",MIN(2,P59-3))</f>
        <v>2</v>
      </c>
      <c r="AC55" s="11"/>
      <c r="AD55" s="11"/>
      <c r="AE55" s="11"/>
      <c r="AF55" s="11"/>
      <c r="AG55" s="11"/>
      <c r="AH55" s="11"/>
      <c r="AI55" s="11"/>
      <c r="AJ55" s="11"/>
      <c r="AK55" s="11"/>
      <c r="AL55" s="11"/>
      <c r="AM55" s="11"/>
      <c r="AN55" s="11"/>
      <c r="AO55" s="11"/>
      <c r="AP55" s="11"/>
      <c r="AQ55" s="11"/>
      <c r="AR55" s="11"/>
      <c r="AS55" s="11"/>
      <c r="AT55" s="11"/>
      <c r="AU55" s="11"/>
      <c r="AV55" s="11"/>
      <c r="AW55" s="11"/>
      <c r="AX55" s="11"/>
    </row>
    <row r="56" spans="2:50" ht="18.75" hidden="1" x14ac:dyDescent="0.4">
      <c r="B56" s="130"/>
      <c r="C56" s="139"/>
      <c r="D56" s="140"/>
      <c r="E56" s="40" t="str">
        <f>IF(P45="　","　",IF(P45="2ヶ月","2001㎥～",IF(P45="1.5ヶ月","1501㎥～",IF(P45="1ヶ月","1001㎥～",IF(P45="0.5ヶ月","501㎥～")))))</f>
        <v>2001㎥～</v>
      </c>
      <c r="F56" s="141">
        <f>IF(P55="　",0,IF(P55="使用している",180,IF(P55="使用していない",0,)))</f>
        <v>180</v>
      </c>
      <c r="G56" s="142" t="s">
        <v>9</v>
      </c>
      <c r="H56" s="143" t="s">
        <v>10</v>
      </c>
      <c r="I56" s="44" t="str">
        <f>IF(P45="　",0,IF(P45="2ヶ月",Y70,IF(P45="1.5ヶ月",Z70,IF(P45="1ヶ月",AA70,IF(P45="0.5ヶ月",AB70)))))</f>
        <v>0</v>
      </c>
      <c r="J56" s="144" t="s">
        <v>17</v>
      </c>
      <c r="K56" s="148">
        <f t="shared" si="8"/>
        <v>0</v>
      </c>
      <c r="L56" s="146" t="s">
        <v>9</v>
      </c>
      <c r="M56" s="126"/>
      <c r="N56" s="218"/>
      <c r="O56" s="9"/>
      <c r="P56" s="9"/>
      <c r="Q56" s="126"/>
      <c r="R56" s="214" t="s">
        <v>81</v>
      </c>
      <c r="S56" s="9"/>
      <c r="T56" s="210"/>
      <c r="U56" s="210"/>
      <c r="V56" s="210"/>
      <c r="W56" s="211"/>
      <c r="X56" s="11"/>
      <c r="Y56" s="151">
        <f>IF(MIN(20,P59-20)&lt;0,"0",MIN(20,P59-20))</f>
        <v>20</v>
      </c>
      <c r="Z56" s="151">
        <f>IF(MIN(15,P59-15)&lt;0,"0",MIN(15,P59-15))</f>
        <v>15</v>
      </c>
      <c r="AA56" s="151">
        <f>IF(MIN(10,P59-10)&lt;0,"0",MIN(10,P59-10))</f>
        <v>10</v>
      </c>
      <c r="AB56" s="151">
        <f>IF(MIN(5,P59-5)&lt;0,"0",MIN(5,P59-5))</f>
        <v>5</v>
      </c>
      <c r="AC56" s="11"/>
      <c r="AD56" s="11"/>
      <c r="AE56" s="11"/>
      <c r="AF56" s="11"/>
      <c r="AG56" s="11"/>
      <c r="AH56" s="11"/>
      <c r="AI56" s="11"/>
      <c r="AJ56" s="11"/>
      <c r="AK56" s="11"/>
      <c r="AL56" s="11"/>
      <c r="AM56" s="11"/>
      <c r="AN56" s="11"/>
      <c r="AO56" s="11"/>
      <c r="AP56" s="11"/>
      <c r="AQ56" s="11"/>
      <c r="AR56" s="11"/>
      <c r="AS56" s="11"/>
      <c r="AT56" s="11"/>
      <c r="AU56" s="11"/>
      <c r="AV56" s="11"/>
      <c r="AW56" s="11"/>
      <c r="AX56" s="11"/>
    </row>
    <row r="57" spans="2:50" ht="18.75" hidden="1" x14ac:dyDescent="0.4">
      <c r="B57" s="130"/>
      <c r="C57" s="152"/>
      <c r="D57" s="153"/>
      <c r="E57" s="154" t="s">
        <v>20</v>
      </c>
      <c r="F57" s="155"/>
      <c r="G57" s="156"/>
      <c r="H57" s="156"/>
      <c r="I57" s="156"/>
      <c r="J57" s="156"/>
      <c r="K57" s="157">
        <f>SUM(K50:K56)</f>
        <v>2520</v>
      </c>
      <c r="L57" s="158" t="s">
        <v>49</v>
      </c>
      <c r="M57" s="126"/>
      <c r="N57" s="215"/>
      <c r="O57" s="219" t="s">
        <v>82</v>
      </c>
      <c r="P57" s="219"/>
      <c r="Q57" s="219"/>
      <c r="R57" s="219"/>
      <c r="S57" s="220"/>
      <c r="T57" s="214"/>
      <c r="U57" s="9"/>
      <c r="V57" s="9"/>
      <c r="W57" s="217"/>
      <c r="X57" s="11"/>
      <c r="Y57" s="151">
        <f>IF(MIN(60,P59-40)&lt;0,"0",MIN(60,P59-40))</f>
        <v>0</v>
      </c>
      <c r="Z57" s="151">
        <f>IF(MIN(45,P59-30)&lt;0,"0",MIN(45,P59-30))</f>
        <v>10</v>
      </c>
      <c r="AA57" s="151">
        <f>IF(MIN(30,P59-20)&lt;0,"0",MIN(30,P59-20))</f>
        <v>20</v>
      </c>
      <c r="AB57" s="151">
        <f>IF(MIN(15,P59-10)&lt;0,"0",MIN(15,P59-10))</f>
        <v>15</v>
      </c>
      <c r="AC57" s="11"/>
      <c r="AD57" s="11"/>
      <c r="AE57" s="11"/>
      <c r="AF57" s="11"/>
      <c r="AG57" s="11"/>
      <c r="AH57" s="11"/>
      <c r="AI57" s="11"/>
      <c r="AJ57" s="11"/>
      <c r="AK57" s="11"/>
      <c r="AL57" s="11"/>
      <c r="AM57" s="11"/>
      <c r="AN57" s="11"/>
      <c r="AO57" s="11"/>
      <c r="AP57" s="11"/>
      <c r="AQ57" s="11"/>
      <c r="AR57" s="11"/>
      <c r="AS57" s="11"/>
      <c r="AT57" s="11"/>
      <c r="AU57" s="11"/>
      <c r="AV57" s="11"/>
      <c r="AW57" s="11"/>
      <c r="AX57" s="11"/>
    </row>
    <row r="58" spans="2:50" ht="18.75" hidden="1" x14ac:dyDescent="0.15">
      <c r="B58" s="130"/>
      <c r="C58" s="65" t="s">
        <v>50</v>
      </c>
      <c r="D58" s="159"/>
      <c r="E58" s="94"/>
      <c r="F58" s="155"/>
      <c r="G58" s="156"/>
      <c r="H58" s="156"/>
      <c r="I58" s="156"/>
      <c r="J58" s="156"/>
      <c r="K58" s="157">
        <f>ROUNDDOWN((K49+K57),-1)</f>
        <v>3700</v>
      </c>
      <c r="L58" s="158" t="s">
        <v>51</v>
      </c>
      <c r="M58" s="126"/>
      <c r="N58" s="215"/>
      <c r="O58" s="219"/>
      <c r="P58" s="219"/>
      <c r="Q58" s="219"/>
      <c r="R58" s="219"/>
      <c r="S58" s="9"/>
      <c r="T58" s="9"/>
      <c r="U58" s="9"/>
      <c r="V58" s="9"/>
      <c r="W58" s="217"/>
      <c r="X58" s="11"/>
      <c r="Y58" s="151" t="str">
        <f>IF(MIN(100,P59-100)&lt;0,"0",MIN(100,P59-100))</f>
        <v>0</v>
      </c>
      <c r="Z58" s="151" t="str">
        <f>IF(MIN(75,P59-75)&lt;0,"0",MIN(75,P59-75))</f>
        <v>0</v>
      </c>
      <c r="AA58" s="151" t="str">
        <f>IF(MIN(50,P59-50)&lt;0,"0",MIN(50,P59-50))</f>
        <v>0</v>
      </c>
      <c r="AB58" s="151">
        <f>IF(MIN(25,P59-25)&lt;0,"0",MIN(25,P59-25))</f>
        <v>15</v>
      </c>
      <c r="AC58" s="11"/>
      <c r="AD58" s="11"/>
      <c r="AE58" s="11"/>
      <c r="AF58" s="11"/>
      <c r="AG58" s="11"/>
      <c r="AH58" s="11"/>
      <c r="AI58" s="11"/>
      <c r="AJ58" s="11"/>
      <c r="AK58" s="11"/>
      <c r="AL58" s="11"/>
      <c r="AM58" s="11"/>
      <c r="AN58" s="11"/>
      <c r="AO58" s="11"/>
      <c r="AP58" s="11"/>
      <c r="AQ58" s="11"/>
      <c r="AR58" s="11"/>
      <c r="AS58" s="11"/>
      <c r="AT58" s="11"/>
      <c r="AU58" s="11"/>
      <c r="AV58" s="11"/>
      <c r="AW58" s="11"/>
      <c r="AX58" s="11"/>
    </row>
    <row r="59" spans="2:50" ht="19.5" hidden="1" thickBot="1" x14ac:dyDescent="0.2">
      <c r="B59" s="130"/>
      <c r="C59" s="160" t="s">
        <v>52</v>
      </c>
      <c r="D59" s="161"/>
      <c r="E59" s="162"/>
      <c r="F59" s="163"/>
      <c r="G59" s="164"/>
      <c r="H59" s="164"/>
      <c r="I59" s="164"/>
      <c r="J59" s="164"/>
      <c r="K59" s="107">
        <f>ROUNDDOWN(K58*0.1,0)</f>
        <v>370</v>
      </c>
      <c r="L59" s="165" t="s">
        <v>53</v>
      </c>
      <c r="M59" s="126"/>
      <c r="N59" s="215"/>
      <c r="O59" s="210"/>
      <c r="P59" s="235">
        <f>P93</f>
        <v>40</v>
      </c>
      <c r="Q59" s="24" t="s">
        <v>83</v>
      </c>
      <c r="R59" s="210" t="s">
        <v>84</v>
      </c>
      <c r="S59" s="210"/>
      <c r="T59" s="9"/>
      <c r="U59" s="9"/>
      <c r="V59" s="9"/>
      <c r="W59" s="217"/>
      <c r="X59" s="11"/>
      <c r="Y59" s="151" t="str">
        <f>IF(MIN(800,P59-200)&lt;0,"0",MIN(800,P59-200))</f>
        <v>0</v>
      </c>
      <c r="Z59" s="151" t="str">
        <f>IF(MIN(600,P59-150)&lt;0,"0",MIN(600,P59-150))</f>
        <v>0</v>
      </c>
      <c r="AA59" s="151" t="str">
        <f>IF(MIN(400,P59-100)&lt;0,"0",MIN(400,P59-100))</f>
        <v>0</v>
      </c>
      <c r="AB59" s="151" t="str">
        <f>IF(MIN(200,P59-50)&lt;0,"0",MIN(200,P59-50))</f>
        <v>0</v>
      </c>
      <c r="AC59" s="11"/>
      <c r="AD59" s="11"/>
      <c r="AE59" s="11"/>
      <c r="AF59" s="11"/>
      <c r="AG59" s="11"/>
      <c r="AH59" s="11"/>
      <c r="AI59" s="11"/>
      <c r="AJ59" s="11"/>
      <c r="AK59" s="11"/>
      <c r="AL59" s="11"/>
      <c r="AM59" s="11"/>
      <c r="AN59" s="11"/>
      <c r="AO59" s="11"/>
      <c r="AP59" s="11"/>
      <c r="AQ59" s="11"/>
      <c r="AR59" s="11"/>
      <c r="AS59" s="11"/>
      <c r="AT59" s="11"/>
      <c r="AU59" s="11"/>
      <c r="AV59" s="11"/>
      <c r="AW59" s="11"/>
      <c r="AX59" s="11"/>
    </row>
    <row r="60" spans="2:50" ht="19.5" hidden="1" thickBot="1" x14ac:dyDescent="0.2">
      <c r="B60" s="166"/>
      <c r="C60" s="167" t="s">
        <v>54</v>
      </c>
      <c r="D60" s="168"/>
      <c r="E60" s="169"/>
      <c r="F60" s="170"/>
      <c r="G60" s="171"/>
      <c r="H60" s="172"/>
      <c r="I60" s="173"/>
      <c r="J60" s="174"/>
      <c r="K60" s="175">
        <f>K58+K59</f>
        <v>4070</v>
      </c>
      <c r="L60" s="176" t="s">
        <v>55</v>
      </c>
      <c r="M60" s="129"/>
      <c r="N60" s="236"/>
      <c r="O60" s="237"/>
      <c r="P60" s="237"/>
      <c r="Q60" s="238"/>
      <c r="R60" s="237"/>
      <c r="S60" s="237"/>
      <c r="T60" s="237"/>
      <c r="U60" s="237"/>
      <c r="V60" s="237"/>
      <c r="W60" s="239"/>
      <c r="X60" s="11"/>
      <c r="Y60" s="151" t="str">
        <f>IF(MIN(1001,P59-1000)&lt;0,"0",MAX(P59-1000))</f>
        <v>0</v>
      </c>
      <c r="Z60" s="151" t="str">
        <f>IF(MIN(751,P59-750)&lt;0,"0",MAX(P59-750))</f>
        <v>0</v>
      </c>
      <c r="AA60" s="151" t="str">
        <f>IF(MIN(501,P59-500)&lt;0,"0",MAX(P59-500))</f>
        <v>0</v>
      </c>
      <c r="AB60" s="151" t="str">
        <f>IF(MIN(251,P59-250)&lt;0,"0",MAX(P59-250))</f>
        <v>0</v>
      </c>
      <c r="AC60" s="11"/>
      <c r="AD60" s="11"/>
      <c r="AE60" s="11"/>
      <c r="AF60" s="11"/>
      <c r="AG60" s="11"/>
      <c r="AH60" s="11"/>
      <c r="AI60" s="11"/>
      <c r="AJ60" s="11"/>
      <c r="AK60" s="11"/>
      <c r="AL60" s="11"/>
      <c r="AM60" s="11"/>
      <c r="AN60" s="11"/>
      <c r="AO60" s="11"/>
      <c r="AP60" s="11"/>
      <c r="AQ60" s="11"/>
      <c r="AR60" s="11"/>
      <c r="AS60" s="11"/>
      <c r="AT60" s="11"/>
      <c r="AU60" s="11"/>
      <c r="AV60" s="11"/>
      <c r="AW60" s="11"/>
      <c r="AX60" s="11"/>
    </row>
    <row r="61" spans="2:50" ht="14.25" hidden="1" thickTop="1" x14ac:dyDescent="0.15">
      <c r="B61" s="178" t="s">
        <v>56</v>
      </c>
      <c r="C61" s="179"/>
      <c r="D61" s="179"/>
      <c r="E61" s="180"/>
      <c r="F61" s="181"/>
      <c r="G61" s="181"/>
      <c r="H61" s="181"/>
      <c r="I61" s="181"/>
      <c r="J61" s="182">
        <f>K48+K60</f>
        <v>10208</v>
      </c>
      <c r="K61" s="182"/>
      <c r="L61" s="183" t="s">
        <v>9</v>
      </c>
      <c r="M61" s="129"/>
      <c r="X61" s="11"/>
      <c r="Y61" s="12"/>
      <c r="Z61" s="12"/>
      <c r="AA61" s="12"/>
      <c r="AB61" s="12"/>
      <c r="AC61" s="11"/>
      <c r="AD61" s="11"/>
      <c r="AE61" s="11"/>
      <c r="AF61" s="11"/>
      <c r="AG61" s="11"/>
      <c r="AH61" s="11"/>
      <c r="AI61" s="11"/>
      <c r="AJ61" s="11"/>
      <c r="AK61" s="11"/>
      <c r="AL61" s="11"/>
      <c r="AM61" s="11"/>
      <c r="AN61" s="11"/>
      <c r="AO61" s="11"/>
      <c r="AP61" s="11"/>
      <c r="AQ61" s="11"/>
      <c r="AR61" s="11"/>
      <c r="AS61" s="11"/>
      <c r="AT61" s="11"/>
      <c r="AU61" s="11"/>
      <c r="AV61" s="11"/>
      <c r="AW61" s="11"/>
      <c r="AX61" s="11"/>
    </row>
    <row r="62" spans="2:50" ht="14.25" hidden="1" thickBot="1" x14ac:dyDescent="0.2">
      <c r="B62" s="185"/>
      <c r="C62" s="186"/>
      <c r="D62" s="186"/>
      <c r="E62" s="187"/>
      <c r="F62" s="188"/>
      <c r="G62" s="188"/>
      <c r="H62" s="188"/>
      <c r="I62" s="188"/>
      <c r="J62" s="189"/>
      <c r="K62" s="189"/>
      <c r="L62" s="190"/>
      <c r="M62" s="129"/>
      <c r="X62" s="11"/>
      <c r="Y62" s="12"/>
      <c r="Z62" s="50"/>
      <c r="AA62" s="12"/>
      <c r="AB62" s="12"/>
      <c r="AC62" s="11"/>
      <c r="AD62" s="11"/>
      <c r="AE62" s="11"/>
      <c r="AF62" s="11"/>
      <c r="AG62" s="11"/>
      <c r="AH62" s="11"/>
      <c r="AI62" s="11"/>
      <c r="AJ62" s="11"/>
      <c r="AK62" s="11"/>
      <c r="AL62" s="11"/>
      <c r="AM62" s="11"/>
      <c r="AN62" s="11"/>
      <c r="AO62" s="11"/>
      <c r="AP62" s="11"/>
      <c r="AQ62" s="11"/>
      <c r="AR62" s="11"/>
      <c r="AS62" s="11"/>
      <c r="AT62" s="11"/>
      <c r="AU62" s="11"/>
      <c r="AV62" s="11"/>
      <c r="AW62" s="11"/>
      <c r="AX62" s="11"/>
    </row>
    <row r="63" spans="2:50" hidden="1" x14ac:dyDescent="0.15">
      <c r="L63" s="9"/>
      <c r="M63" s="24"/>
      <c r="X63" s="11"/>
      <c r="Y63" s="177">
        <f>IF(MIN(44,P59-16)&lt;0,"0",MIN(44,P59-16))</f>
        <v>24</v>
      </c>
      <c r="Z63" s="177">
        <f>IF(MIN(33,P59-12)&lt;0,"0",MIN(33,P59-12))</f>
        <v>28</v>
      </c>
      <c r="AA63" s="177">
        <f>IF(MIN(22,P59-6)&lt;0,"0",MIN(22,P59-6))</f>
        <v>22</v>
      </c>
      <c r="AB63" s="177">
        <f>IF(MIN(11,P59-4)&lt;0,"0",MIN(11,P59-4))</f>
        <v>11</v>
      </c>
      <c r="AC63" s="11"/>
      <c r="AD63" s="11"/>
      <c r="AE63" s="11"/>
      <c r="AF63" s="11"/>
      <c r="AG63" s="11"/>
      <c r="AH63" s="11"/>
      <c r="AI63" s="11"/>
      <c r="AJ63" s="11"/>
      <c r="AK63" s="11"/>
      <c r="AL63" s="11"/>
      <c r="AM63" s="11"/>
      <c r="AN63" s="11"/>
      <c r="AO63" s="11"/>
      <c r="AP63" s="11"/>
      <c r="AQ63" s="11"/>
      <c r="AR63" s="11"/>
      <c r="AS63" s="11"/>
      <c r="AT63" s="11"/>
      <c r="AU63" s="11"/>
      <c r="AV63" s="11"/>
      <c r="AW63" s="11"/>
      <c r="AX63" s="11"/>
    </row>
    <row r="64" spans="2:50" ht="21" hidden="1" x14ac:dyDescent="0.15">
      <c r="M64" s="184"/>
      <c r="X64" s="11"/>
      <c r="Y64" s="177" t="str">
        <f>IF(MIN(40,P59-60)&lt;0,"0",MIN(40,P59-60))</f>
        <v>0</v>
      </c>
      <c r="Z64" s="177" t="str">
        <f>IF(MIN(30,P59-45)&lt;0,"0",MIN(30,P59-45))</f>
        <v>0</v>
      </c>
      <c r="AA64" s="177">
        <f>IF(MIN(20,P59-30)&lt;0,"0",MIN(20,P59-30))</f>
        <v>10</v>
      </c>
      <c r="AB64" s="177">
        <f>IF(MIN(10,P59-15)&lt;0,"0",MIN(10,P59-15))</f>
        <v>10</v>
      </c>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13:50" ht="21" hidden="1" x14ac:dyDescent="0.15">
      <c r="M65" s="191"/>
      <c r="X65" s="11"/>
      <c r="Y65" s="177" t="str">
        <f>IF(MIN(100,P59-100)&lt;0,"0",MIN(100,P59-100))</f>
        <v>0</v>
      </c>
      <c r="Z65" s="177" t="str">
        <f>IF(MIN(75,P59-75)&lt;0,"0",MIN(75,P59-75))</f>
        <v>0</v>
      </c>
      <c r="AA65" s="177" t="str">
        <f>IF(MIN(50,P59-50)&lt;0,"0",MIN(50,P59-50))</f>
        <v>0</v>
      </c>
      <c r="AB65" s="177">
        <f>IF(MIN(25,P59-25)&lt;0,"0",MIN(25,P59-25))</f>
        <v>15</v>
      </c>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13:50" ht="14.25" thickBot="1" x14ac:dyDescent="0.2">
      <c r="M66" s="9"/>
      <c r="X66" s="11"/>
      <c r="Y66" s="177" t="str">
        <f>IF(MIN(200,P59-200)&lt;0,"0",MIN(200,P59-200))</f>
        <v>0</v>
      </c>
      <c r="Z66" s="177" t="str">
        <f>IF(MIN(150,P59-150)&lt;0,"0",MIN(150,P59-150))</f>
        <v>0</v>
      </c>
      <c r="AA66" s="177" t="str">
        <f>IF(MIN(100,P59-100)&lt;0,"0",MIN(100,P59-100))</f>
        <v>0</v>
      </c>
      <c r="AB66" s="177" t="str">
        <f>IF(MIN(50,P59-50)&lt;0,"0",MIN(50,P59-50))</f>
        <v>0</v>
      </c>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13:50" ht="13.5" customHeight="1" thickTop="1" x14ac:dyDescent="0.15">
      <c r="N67" s="194" t="s">
        <v>59</v>
      </c>
      <c r="O67" s="195"/>
      <c r="P67" s="195"/>
      <c r="Q67" s="195"/>
      <c r="R67" s="195"/>
      <c r="S67" s="196"/>
      <c r="T67" s="197"/>
      <c r="U67" s="197"/>
      <c r="V67" s="197"/>
      <c r="W67" s="198"/>
      <c r="X67" s="11"/>
      <c r="Y67" s="177" t="str">
        <f>IF(MIN(600,P59-400)&lt;0,"0",MIN(600,P59-400))</f>
        <v>0</v>
      </c>
      <c r="Z67" s="177" t="str">
        <f>IF(MIN(450,P59-300)&lt;0,"0",MIN(450,P59-300))</f>
        <v>0</v>
      </c>
      <c r="AA67" s="177" t="str">
        <f>IF(MIN(300,P59-300)&lt;0,"0",MIN(300,P59-300))</f>
        <v>0</v>
      </c>
      <c r="AB67" s="177" t="str">
        <f>IF(MIN(250,P59-250)&lt;0,"0",MIN(250,P59-250))</f>
        <v>0</v>
      </c>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13:50" ht="13.5" customHeight="1" x14ac:dyDescent="0.15">
      <c r="N68" s="208"/>
      <c r="O68" s="209"/>
      <c r="P68" s="209"/>
      <c r="Q68" s="209"/>
      <c r="R68" s="209"/>
      <c r="S68" s="9"/>
      <c r="T68" s="210"/>
      <c r="U68" s="210"/>
      <c r="V68" s="210"/>
      <c r="W68" s="211"/>
      <c r="X68" s="11"/>
      <c r="Y68" s="177" t="str">
        <f>IF(MIN(1000,P59-1000)&lt;0,"0",MIN(1000,P59-1000))</f>
        <v>0</v>
      </c>
      <c r="Z68" s="177" t="str">
        <f>IF(MIN(750,P59-750)&lt;0,"0",MIN(750,P59-750))</f>
        <v>0</v>
      </c>
      <c r="AA68" s="177" t="str">
        <f>IF(MIN(500,P59-500)&lt;0,"0",MIN(500,P59-500))</f>
        <v>0</v>
      </c>
      <c r="AB68" s="177" t="str">
        <f>IF(MIN(250,P59-250)&lt;0,"0",MIN(250,P59-250))</f>
        <v>0</v>
      </c>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13:50" ht="16.5" customHeight="1" x14ac:dyDescent="0.4">
      <c r="N69" s="212"/>
      <c r="O69" s="213"/>
      <c r="P69" s="214" t="s">
        <v>62</v>
      </c>
      <c r="Q69" s="129"/>
      <c r="R69" s="214"/>
      <c r="S69" s="214"/>
      <c r="T69" s="210"/>
      <c r="U69" s="210"/>
      <c r="V69" s="210"/>
      <c r="W69" s="211"/>
      <c r="X69" s="11"/>
      <c r="Y69" s="177"/>
      <c r="Z69" s="177"/>
      <c r="AA69" s="177"/>
      <c r="AB69" s="177"/>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13:50" ht="17.25" customHeight="1" x14ac:dyDescent="0.4">
      <c r="N70" s="215"/>
      <c r="P70" s="214" t="s">
        <v>63</v>
      </c>
      <c r="Q70" s="216"/>
      <c r="W70" s="217"/>
      <c r="X70" s="11"/>
      <c r="Y70" s="177" t="str">
        <f>IF(MIN(2000,P59-2000)&lt;0,"0",MAX(P59-2000))</f>
        <v>0</v>
      </c>
      <c r="Z70" s="177" t="str">
        <f>IF(MIN(1500,P59-1500)&lt;0,"0",MAX(P59-1500))</f>
        <v>0</v>
      </c>
      <c r="AA70" s="177" t="str">
        <f>IF(MIN(1000,P59-1000)&lt;0,"0",MAX(P59-1000))</f>
        <v>0</v>
      </c>
      <c r="AB70" s="177" t="str">
        <f>IF(MIN(500,P59-500)&lt;0,"0",MAX(P59-500))</f>
        <v>0</v>
      </c>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13:50" ht="13.5" customHeight="1" x14ac:dyDescent="0.15">
      <c r="N71" s="218"/>
      <c r="O71" s="219" t="s">
        <v>64</v>
      </c>
      <c r="P71" s="219"/>
      <c r="Q71" s="219"/>
      <c r="R71" s="219"/>
      <c r="S71" s="9"/>
      <c r="T71" s="220"/>
      <c r="U71" s="220"/>
      <c r="V71" s="220"/>
      <c r="W71" s="221"/>
      <c r="X71" s="11"/>
      <c r="Y71" s="12"/>
      <c r="Z71" s="12"/>
      <c r="AA71" s="12"/>
      <c r="AB71" s="12"/>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13:50" ht="13.5" customHeight="1" thickBot="1" x14ac:dyDescent="0.2">
      <c r="N72" s="218"/>
      <c r="O72" s="219"/>
      <c r="P72" s="219"/>
      <c r="Q72" s="219"/>
      <c r="R72" s="219"/>
      <c r="S72" s="9"/>
      <c r="T72" s="9"/>
      <c r="U72" s="210"/>
      <c r="V72" s="210"/>
      <c r="W72" s="2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13:50" ht="13.5" customHeight="1" thickBot="1" x14ac:dyDescent="0.2">
      <c r="N73" s="218"/>
      <c r="O73" s="220"/>
      <c r="P73" s="240" t="s">
        <v>105</v>
      </c>
      <c r="Q73" s="39"/>
      <c r="R73" s="224" t="s">
        <v>66</v>
      </c>
      <c r="S73" s="225" t="s">
        <v>67</v>
      </c>
      <c r="T73" s="9"/>
      <c r="U73" s="220"/>
      <c r="V73" s="220"/>
      <c r="W73" s="22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row r="74" spans="13:50" ht="13.5" customHeight="1" x14ac:dyDescent="0.15">
      <c r="N74" s="218"/>
      <c r="O74" s="220"/>
      <c r="P74" s="220"/>
      <c r="Q74" s="39"/>
      <c r="R74" s="224" t="s">
        <v>68</v>
      </c>
      <c r="S74" s="225" t="s">
        <v>69</v>
      </c>
      <c r="T74" s="210"/>
      <c r="U74" s="210"/>
      <c r="V74" s="210"/>
      <c r="W74" s="2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row>
    <row r="75" spans="13:50" ht="13.5" customHeight="1" x14ac:dyDescent="0.15">
      <c r="N75" s="218"/>
      <c r="O75" s="220"/>
      <c r="P75" s="220"/>
      <c r="Q75" s="39"/>
      <c r="R75" s="226" t="s">
        <v>70</v>
      </c>
      <c r="S75" s="225" t="s">
        <v>71</v>
      </c>
      <c r="T75" s="220"/>
      <c r="U75" s="210"/>
      <c r="V75" s="210"/>
      <c r="W75" s="2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row>
    <row r="76" spans="13:50" ht="13.5" customHeight="1" x14ac:dyDescent="0.15">
      <c r="N76" s="218"/>
      <c r="O76" s="220"/>
      <c r="P76" s="220"/>
      <c r="Q76" s="39"/>
      <c r="R76" s="224" t="s">
        <v>72</v>
      </c>
      <c r="S76" s="225" t="s">
        <v>73</v>
      </c>
      <c r="T76" s="210"/>
      <c r="U76" s="210"/>
      <c r="V76" s="210"/>
      <c r="W76" s="2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row>
    <row r="77" spans="13:50" ht="13.5" customHeight="1" x14ac:dyDescent="0.15">
      <c r="N77" s="218"/>
      <c r="O77" s="219" t="s">
        <v>85</v>
      </c>
      <c r="P77" s="219"/>
      <c r="Q77" s="219"/>
      <c r="R77" s="219"/>
      <c r="S77" s="9"/>
      <c r="T77" s="220"/>
      <c r="U77" s="220"/>
      <c r="V77" s="220"/>
      <c r="W77" s="22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row>
    <row r="78" spans="13:50" ht="13.5" customHeight="1" thickBot="1" x14ac:dyDescent="0.2">
      <c r="N78" s="218"/>
      <c r="O78" s="219"/>
      <c r="P78" s="219"/>
      <c r="Q78" s="219"/>
      <c r="R78" s="219"/>
      <c r="S78" s="9"/>
      <c r="T78" s="9"/>
      <c r="U78" s="210"/>
      <c r="V78" s="210"/>
      <c r="W78" s="2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row>
    <row r="79" spans="13:50" ht="13.5" customHeight="1" thickBot="1" x14ac:dyDescent="0.2">
      <c r="N79" s="218"/>
      <c r="O79" s="241"/>
      <c r="P79" s="242" t="s">
        <v>86</v>
      </c>
      <c r="Q79" s="243"/>
      <c r="R79" s="24" t="s">
        <v>87</v>
      </c>
      <c r="S79" s="210" t="s">
        <v>88</v>
      </c>
      <c r="T79" s="9"/>
      <c r="U79" s="220"/>
      <c r="V79" s="220"/>
      <c r="W79" s="22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row>
    <row r="80" spans="13:50" ht="13.5" customHeight="1" x14ac:dyDescent="0.15">
      <c r="N80" s="218"/>
      <c r="O80" s="220"/>
      <c r="Q80" s="210"/>
      <c r="R80" s="210"/>
      <c r="S80" s="244" t="s">
        <v>89</v>
      </c>
      <c r="U80" s="11"/>
      <c r="V80" s="11"/>
      <c r="W80" s="2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row>
    <row r="81" spans="14:50" ht="13.5" customHeight="1" x14ac:dyDescent="0.15">
      <c r="N81" s="218"/>
      <c r="O81" s="220"/>
      <c r="P81" s="220"/>
      <c r="Q81" s="39"/>
      <c r="R81" s="210" t="s">
        <v>90</v>
      </c>
      <c r="S81" s="210" t="s">
        <v>91</v>
      </c>
      <c r="T81" s="220"/>
      <c r="U81" s="210"/>
      <c r="V81" s="210"/>
      <c r="W81" s="2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row>
    <row r="82" spans="14:50" ht="13.5" customHeight="1" x14ac:dyDescent="0.15">
      <c r="N82" s="218"/>
      <c r="O82" s="220"/>
      <c r="P82" s="220"/>
      <c r="Q82" s="39"/>
      <c r="R82" s="210" t="s">
        <v>92</v>
      </c>
      <c r="S82" s="210" t="s">
        <v>93</v>
      </c>
      <c r="T82" s="210"/>
      <c r="U82" s="210"/>
      <c r="V82" s="210"/>
      <c r="W82" s="2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row>
    <row r="83" spans="14:50" ht="13.5" customHeight="1" x14ac:dyDescent="0.15">
      <c r="N83" s="218"/>
      <c r="O83" s="219" t="s">
        <v>74</v>
      </c>
      <c r="P83" s="219"/>
      <c r="Q83" s="219"/>
      <c r="R83" s="219"/>
      <c r="S83" s="210"/>
      <c r="T83" s="9"/>
      <c r="U83" s="210"/>
      <c r="V83" s="210"/>
      <c r="W83" s="2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row>
    <row r="84" spans="14:50" ht="13.5" customHeight="1" thickBot="1" x14ac:dyDescent="0.2">
      <c r="N84" s="228"/>
      <c r="O84" s="219"/>
      <c r="P84" s="219"/>
      <c r="Q84" s="219"/>
      <c r="R84" s="219"/>
      <c r="S84" s="9"/>
      <c r="T84" s="9"/>
      <c r="U84" s="214"/>
      <c r="V84" s="214"/>
      <c r="W84" s="229"/>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row>
    <row r="85" spans="14:50" ht="13.5" customHeight="1" thickBot="1" x14ac:dyDescent="0.2">
      <c r="N85" s="215"/>
      <c r="O85" s="210"/>
      <c r="P85" s="240">
        <v>13</v>
      </c>
      <c r="Q85" s="24" t="s">
        <v>76</v>
      </c>
      <c r="R85" s="230" t="s">
        <v>77</v>
      </c>
      <c r="S85" s="230"/>
      <c r="T85" s="230"/>
      <c r="U85" s="230"/>
      <c r="V85" s="230"/>
      <c r="W85" s="23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row>
    <row r="86" spans="14:50" ht="13.5" customHeight="1" x14ac:dyDescent="0.15">
      <c r="N86" s="215"/>
      <c r="O86" s="210"/>
      <c r="P86" s="232"/>
      <c r="Q86" s="39"/>
      <c r="R86" s="210" t="s">
        <v>94</v>
      </c>
      <c r="S86" s="210"/>
      <c r="T86" s="210"/>
      <c r="U86" s="9"/>
      <c r="V86" s="9"/>
      <c r="W86" s="217"/>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row>
    <row r="87" spans="14:50" ht="13.5" customHeight="1" x14ac:dyDescent="0.15">
      <c r="N87" s="228"/>
      <c r="O87" s="219" t="s">
        <v>79</v>
      </c>
      <c r="P87" s="219"/>
      <c r="Q87" s="219"/>
      <c r="R87" s="219"/>
      <c r="S87" s="210"/>
      <c r="T87" s="9"/>
      <c r="U87" s="214"/>
      <c r="V87" s="214"/>
      <c r="W87" s="229"/>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row>
    <row r="88" spans="14:50" ht="13.5" customHeight="1" thickBot="1" x14ac:dyDescent="0.2">
      <c r="N88" s="228"/>
      <c r="O88" s="219"/>
      <c r="P88" s="219"/>
      <c r="Q88" s="219"/>
      <c r="R88" s="219"/>
      <c r="S88" s="210"/>
      <c r="T88" s="214"/>
      <c r="U88" s="214"/>
      <c r="V88" s="214"/>
      <c r="W88" s="229"/>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row>
    <row r="89" spans="14:50" ht="13.5" customHeight="1" thickBot="1" x14ac:dyDescent="0.2">
      <c r="N89" s="228"/>
      <c r="O89" s="210"/>
      <c r="P89" s="234" t="s">
        <v>95</v>
      </c>
      <c r="Q89" s="39"/>
      <c r="R89" s="210" t="s">
        <v>80</v>
      </c>
      <c r="S89" s="9"/>
      <c r="T89" s="214"/>
      <c r="U89" s="214"/>
      <c r="V89" s="214"/>
      <c r="W89" s="229"/>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row>
    <row r="90" spans="14:50" ht="13.5" customHeight="1" x14ac:dyDescent="0.15">
      <c r="N90" s="218"/>
      <c r="O90" s="9"/>
      <c r="P90" s="9"/>
      <c r="Q90" s="126"/>
      <c r="R90" s="214" t="s">
        <v>81</v>
      </c>
      <c r="S90" s="9"/>
      <c r="T90" s="210"/>
      <c r="U90" s="210"/>
      <c r="V90" s="210"/>
      <c r="W90" s="2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row>
    <row r="91" spans="14:50" ht="13.5" customHeight="1" x14ac:dyDescent="0.15">
      <c r="N91" s="215"/>
      <c r="O91" s="219" t="s">
        <v>82</v>
      </c>
      <c r="P91" s="219"/>
      <c r="Q91" s="219"/>
      <c r="R91" s="219"/>
      <c r="S91" s="220"/>
      <c r="T91" s="214"/>
      <c r="U91" s="9"/>
      <c r="V91" s="9"/>
      <c r="W91" s="217"/>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row>
    <row r="92" spans="14:50" ht="13.5" customHeight="1" thickBot="1" x14ac:dyDescent="0.2">
      <c r="N92" s="215"/>
      <c r="O92" s="219"/>
      <c r="P92" s="219"/>
      <c r="Q92" s="219"/>
      <c r="R92" s="219"/>
      <c r="S92" s="9"/>
      <c r="T92" s="9"/>
      <c r="U92" s="9"/>
      <c r="V92" s="9"/>
      <c r="W92" s="217"/>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spans="14:50" ht="13.5" customHeight="1" thickBot="1" x14ac:dyDescent="0.2">
      <c r="N93" s="215"/>
      <c r="O93" s="210"/>
      <c r="P93" s="235">
        <v>40</v>
      </c>
      <c r="Q93" s="24" t="s">
        <v>83</v>
      </c>
      <c r="R93" s="210" t="s">
        <v>84</v>
      </c>
      <c r="S93" s="210"/>
      <c r="T93" s="9"/>
      <c r="U93" s="9"/>
      <c r="V93" s="9"/>
      <c r="W93" s="217"/>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14:50" ht="13.5" customHeight="1" thickBot="1" x14ac:dyDescent="0.45">
      <c r="N94" s="236"/>
      <c r="O94" s="237"/>
      <c r="P94" s="245"/>
      <c r="Q94" s="238"/>
      <c r="R94" s="237"/>
      <c r="S94" s="237"/>
      <c r="T94" s="237"/>
      <c r="U94" s="237"/>
      <c r="V94" s="237"/>
      <c r="W94" s="239"/>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14:50" ht="14.25" thickTop="1" x14ac:dyDescent="0.15">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14:50" ht="14.25" thickBot="1" x14ac:dyDescent="0.2">
      <c r="W96" s="246"/>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spans="14:50" ht="19.5" customHeight="1" x14ac:dyDescent="0.15">
      <c r="N97" s="247" t="s">
        <v>96</v>
      </c>
      <c r="O97" s="248" t="s">
        <v>97</v>
      </c>
      <c r="P97" s="249"/>
      <c r="Q97" s="250"/>
      <c r="R97" s="251">
        <f>K10+K13</f>
        <v>5040</v>
      </c>
      <c r="S97" s="247" t="s">
        <v>98</v>
      </c>
      <c r="T97" s="248" t="s">
        <v>1</v>
      </c>
      <c r="U97" s="249"/>
      <c r="V97" s="250"/>
      <c r="W97" s="251">
        <f>K45</f>
        <v>5580</v>
      </c>
      <c r="X97" s="11"/>
      <c r="Y97" s="11"/>
      <c r="Z97" s="11"/>
      <c r="AA97" s="11"/>
      <c r="AB97" s="11"/>
      <c r="AC97" s="11"/>
      <c r="AD97" s="11"/>
      <c r="AE97" s="11"/>
      <c r="AF97" s="11"/>
      <c r="AG97" s="11"/>
      <c r="AH97" s="11"/>
      <c r="AI97" s="11"/>
      <c r="AJ97" s="11"/>
      <c r="AK97" s="11"/>
      <c r="AL97" s="11"/>
      <c r="AM97" s="11"/>
      <c r="AN97" s="11"/>
      <c r="AO97" s="11"/>
      <c r="AP97" s="11"/>
      <c r="AQ97" s="11"/>
      <c r="AR97" s="11"/>
    </row>
    <row r="98" spans="14:50" ht="19.5" customHeight="1" x14ac:dyDescent="0.15">
      <c r="N98" s="252"/>
      <c r="O98" s="253" t="s">
        <v>99</v>
      </c>
      <c r="P98" s="254"/>
      <c r="Q98" s="255"/>
      <c r="R98" s="256">
        <f>K11+K14</f>
        <v>504</v>
      </c>
      <c r="S98" s="252"/>
      <c r="T98" s="253" t="s">
        <v>99</v>
      </c>
      <c r="U98" s="254"/>
      <c r="V98" s="255"/>
      <c r="W98" s="256">
        <f>K46</f>
        <v>558</v>
      </c>
      <c r="X98" s="11"/>
      <c r="Y98" s="11"/>
      <c r="Z98" s="11"/>
      <c r="AA98" s="11"/>
      <c r="AB98" s="11"/>
      <c r="AC98" s="11"/>
      <c r="AD98" s="11"/>
      <c r="AE98" s="11"/>
      <c r="AF98" s="11"/>
      <c r="AG98" s="11"/>
      <c r="AH98" s="11"/>
      <c r="AI98" s="11"/>
      <c r="AJ98" s="11"/>
      <c r="AK98" s="11"/>
      <c r="AL98" s="11"/>
      <c r="AM98" s="11"/>
      <c r="AN98" s="11"/>
      <c r="AO98" s="11"/>
      <c r="AP98" s="11"/>
      <c r="AQ98" s="11"/>
      <c r="AR98" s="11"/>
    </row>
    <row r="99" spans="14:50" ht="19.5" customHeight="1" x14ac:dyDescent="0.15">
      <c r="N99" s="252"/>
      <c r="O99" s="253" t="s">
        <v>100</v>
      </c>
      <c r="P99" s="254"/>
      <c r="Q99" s="255"/>
      <c r="R99" s="256">
        <f>R97+R98</f>
        <v>5544</v>
      </c>
      <c r="S99" s="252"/>
      <c r="T99" s="253" t="s">
        <v>100</v>
      </c>
      <c r="U99" s="254"/>
      <c r="V99" s="255"/>
      <c r="W99" s="256">
        <f>W97+W98</f>
        <v>6138</v>
      </c>
      <c r="X99" s="11"/>
      <c r="Y99" s="11"/>
      <c r="Z99" s="11"/>
      <c r="AA99" s="11"/>
      <c r="AB99" s="11"/>
      <c r="AC99" s="11"/>
      <c r="AD99" s="11"/>
      <c r="AE99" s="11"/>
      <c r="AF99" s="11"/>
      <c r="AG99" s="11"/>
      <c r="AH99" s="11"/>
      <c r="AI99" s="11"/>
      <c r="AJ99" s="11"/>
      <c r="AK99" s="11"/>
      <c r="AL99" s="11"/>
      <c r="AM99" s="11"/>
      <c r="AN99" s="11"/>
      <c r="AO99" s="11"/>
      <c r="AP99" s="11"/>
      <c r="AQ99" s="11"/>
      <c r="AR99" s="11"/>
    </row>
    <row r="100" spans="14:50" ht="19.5" customHeight="1" x14ac:dyDescent="0.15">
      <c r="N100" s="252"/>
      <c r="O100" s="257" t="s">
        <v>101</v>
      </c>
      <c r="P100" s="258"/>
      <c r="Q100" s="259"/>
      <c r="R100" s="260">
        <f>K58</f>
        <v>3700</v>
      </c>
      <c r="S100" s="252"/>
      <c r="T100" s="257" t="s">
        <v>101</v>
      </c>
      <c r="U100" s="258"/>
      <c r="V100" s="259"/>
      <c r="W100" s="260">
        <f>K58</f>
        <v>3700</v>
      </c>
      <c r="X100" s="11"/>
      <c r="Y100" s="11"/>
      <c r="Z100" s="11"/>
      <c r="AA100" s="11"/>
      <c r="AB100" s="11"/>
      <c r="AC100" s="11"/>
      <c r="AD100" s="11"/>
      <c r="AE100" s="11"/>
      <c r="AF100" s="11"/>
      <c r="AG100" s="11"/>
      <c r="AH100" s="11"/>
      <c r="AI100" s="11"/>
      <c r="AJ100" s="11"/>
      <c r="AK100" s="11"/>
      <c r="AL100" s="11"/>
      <c r="AM100" s="11"/>
      <c r="AN100" s="11"/>
      <c r="AO100" s="11"/>
      <c r="AP100" s="11"/>
      <c r="AQ100" s="11"/>
      <c r="AR100" s="11"/>
    </row>
    <row r="101" spans="14:50" ht="19.5" customHeight="1" x14ac:dyDescent="0.15">
      <c r="N101" s="252"/>
      <c r="O101" s="257" t="s">
        <v>99</v>
      </c>
      <c r="P101" s="258"/>
      <c r="Q101" s="259"/>
      <c r="R101" s="260">
        <f>K59</f>
        <v>370</v>
      </c>
      <c r="S101" s="252"/>
      <c r="T101" s="257" t="s">
        <v>99</v>
      </c>
      <c r="U101" s="258"/>
      <c r="V101" s="259"/>
      <c r="W101" s="260">
        <f>K59</f>
        <v>370</v>
      </c>
      <c r="X101" s="11"/>
      <c r="Y101" s="11"/>
      <c r="Z101" s="11"/>
      <c r="AA101" s="11"/>
      <c r="AB101" s="11"/>
      <c r="AC101" s="11"/>
      <c r="AD101" s="11"/>
      <c r="AE101" s="11"/>
      <c r="AF101" s="11"/>
      <c r="AG101" s="11"/>
      <c r="AH101" s="11"/>
      <c r="AI101" s="11"/>
      <c r="AJ101" s="11"/>
      <c r="AK101" s="11"/>
      <c r="AL101" s="11"/>
      <c r="AM101" s="11"/>
      <c r="AN101" s="11"/>
      <c r="AO101" s="11"/>
      <c r="AP101" s="11"/>
      <c r="AQ101" s="11"/>
      <c r="AR101" s="11"/>
    </row>
    <row r="102" spans="14:50" ht="19.5" customHeight="1" x14ac:dyDescent="0.15">
      <c r="N102" s="252"/>
      <c r="O102" s="257" t="s">
        <v>102</v>
      </c>
      <c r="P102" s="258"/>
      <c r="Q102" s="259"/>
      <c r="R102" s="260">
        <f>R100+R101</f>
        <v>4070</v>
      </c>
      <c r="S102" s="252"/>
      <c r="T102" s="257" t="s">
        <v>102</v>
      </c>
      <c r="U102" s="258"/>
      <c r="V102" s="259"/>
      <c r="W102" s="260">
        <f>W100+W101</f>
        <v>4070</v>
      </c>
      <c r="X102" s="11"/>
      <c r="Y102" s="11"/>
      <c r="Z102" s="11"/>
      <c r="AA102" s="11"/>
      <c r="AB102" s="11"/>
      <c r="AC102" s="11"/>
      <c r="AD102" s="11"/>
      <c r="AE102" s="11"/>
      <c r="AF102" s="11"/>
      <c r="AG102" s="11"/>
      <c r="AH102" s="11"/>
      <c r="AI102" s="11"/>
      <c r="AJ102" s="11"/>
      <c r="AK102" s="11"/>
      <c r="AL102" s="11"/>
      <c r="AM102" s="11"/>
      <c r="AN102" s="11"/>
      <c r="AO102" s="11"/>
      <c r="AP102" s="11"/>
      <c r="AQ102" s="11"/>
      <c r="AR102" s="11"/>
    </row>
    <row r="103" spans="14:50" ht="19.5" customHeight="1" thickBot="1" x14ac:dyDescent="0.2">
      <c r="N103" s="261"/>
      <c r="O103" s="262" t="s">
        <v>103</v>
      </c>
      <c r="P103" s="263"/>
      <c r="Q103" s="264"/>
      <c r="R103" s="265">
        <f>R99+R102</f>
        <v>9614</v>
      </c>
      <c r="S103" s="261"/>
      <c r="T103" s="262" t="s">
        <v>103</v>
      </c>
      <c r="U103" s="263"/>
      <c r="V103" s="264"/>
      <c r="W103" s="265">
        <f>W99+W102</f>
        <v>10208</v>
      </c>
      <c r="X103" s="11"/>
      <c r="Y103" s="11"/>
      <c r="Z103" s="11"/>
      <c r="AA103" s="11"/>
      <c r="AB103" s="11"/>
      <c r="AC103" s="11"/>
      <c r="AD103" s="11"/>
      <c r="AE103" s="11"/>
      <c r="AF103" s="11"/>
      <c r="AG103" s="11"/>
      <c r="AH103" s="11"/>
      <c r="AI103" s="11"/>
      <c r="AJ103" s="11"/>
      <c r="AK103" s="11"/>
      <c r="AL103" s="11"/>
      <c r="AM103" s="11"/>
      <c r="AN103" s="11"/>
      <c r="AO103" s="11"/>
      <c r="AP103" s="11"/>
      <c r="AQ103" s="11"/>
      <c r="AR103" s="11"/>
    </row>
    <row r="104" spans="14:50" ht="19.5" customHeight="1" thickBot="1" x14ac:dyDescent="0.2">
      <c r="S104" s="266" t="s">
        <v>104</v>
      </c>
      <c r="T104" s="267"/>
      <c r="U104" s="267"/>
      <c r="V104" s="268"/>
      <c r="W104" s="269">
        <f>W103-R103</f>
        <v>594</v>
      </c>
      <c r="X104" s="11"/>
      <c r="Y104" s="11"/>
      <c r="Z104" s="11"/>
      <c r="AA104" s="11"/>
      <c r="AB104" s="11"/>
      <c r="AC104" s="11"/>
      <c r="AD104" s="11"/>
      <c r="AE104" s="11"/>
      <c r="AF104" s="11"/>
      <c r="AG104" s="11"/>
      <c r="AH104" s="11"/>
      <c r="AI104" s="11"/>
      <c r="AJ104" s="11"/>
      <c r="AK104" s="11"/>
      <c r="AL104" s="11"/>
      <c r="AM104" s="11"/>
      <c r="AN104" s="11"/>
      <c r="AO104" s="11"/>
      <c r="AP104" s="11"/>
      <c r="AQ104" s="11"/>
      <c r="AR104" s="11"/>
    </row>
    <row r="105" spans="14:50" ht="19.5" customHeight="1" x14ac:dyDescent="0.15">
      <c r="V105" s="10"/>
      <c r="X105" s="11"/>
      <c r="Y105" s="11"/>
      <c r="Z105" s="11"/>
      <c r="AA105" s="11"/>
      <c r="AB105" s="11"/>
      <c r="AC105" s="11"/>
      <c r="AD105" s="11"/>
      <c r="AE105" s="11"/>
      <c r="AF105" s="11"/>
      <c r="AG105" s="11"/>
      <c r="AH105" s="11"/>
      <c r="AI105" s="11"/>
      <c r="AJ105" s="11"/>
      <c r="AK105" s="11"/>
      <c r="AL105" s="11"/>
      <c r="AM105" s="11"/>
      <c r="AN105" s="11"/>
      <c r="AO105" s="11"/>
      <c r="AP105" s="11"/>
      <c r="AQ105" s="11"/>
      <c r="AR105" s="11"/>
    </row>
    <row r="106" spans="14:50" ht="19.5" customHeight="1" x14ac:dyDescent="0.15">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row>
    <row r="107" spans="14:50" ht="19.5" customHeight="1" x14ac:dyDescent="0.15">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row>
    <row r="108" spans="14:50" ht="19.5" customHeight="1" x14ac:dyDescent="0.15">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row>
    <row r="109" spans="14:50" ht="19.5" customHeight="1" x14ac:dyDescent="0.15">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row>
    <row r="110" spans="14:50" ht="19.5" customHeight="1" x14ac:dyDescent="0.15">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row>
    <row r="111" spans="14:50" ht="19.5" customHeight="1" x14ac:dyDescent="0.15">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row>
    <row r="112" spans="14:50" x14ac:dyDescent="0.15">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row>
    <row r="113" spans="24:50" x14ac:dyDescent="0.15">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row>
    <row r="114" spans="24:50" x14ac:dyDescent="0.15">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row>
    <row r="115" spans="24:50" x14ac:dyDescent="0.15">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row>
    <row r="116" spans="24:50" x14ac:dyDescent="0.15">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row>
    <row r="117" spans="24:50" x14ac:dyDescent="0.15">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row>
    <row r="118" spans="24:50" x14ac:dyDescent="0.15">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row>
    <row r="119" spans="24:50" x14ac:dyDescent="0.15">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row>
    <row r="120" spans="24:50" x14ac:dyDescent="0.15">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row>
    <row r="121" spans="24:50" x14ac:dyDescent="0.15">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row>
    <row r="122" spans="24:50" x14ac:dyDescent="0.15">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row>
    <row r="123" spans="24:50" x14ac:dyDescent="0.15">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row>
    <row r="124" spans="24:50" x14ac:dyDescent="0.15">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row>
    <row r="125" spans="24:50" x14ac:dyDescent="0.15">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row>
    <row r="126" spans="24:50" x14ac:dyDescent="0.15">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row>
    <row r="127" spans="24:50" x14ac:dyDescent="0.15">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row>
    <row r="128" spans="24:50" x14ac:dyDescent="0.15">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row>
    <row r="129" spans="24:50" x14ac:dyDescent="0.15">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row>
    <row r="130" spans="24:50" x14ac:dyDescent="0.15">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row>
    <row r="131" spans="24:50" x14ac:dyDescent="0.15">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row>
    <row r="132" spans="24:50" x14ac:dyDescent="0.15">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row>
    <row r="133" spans="24:50" x14ac:dyDescent="0.15">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row>
    <row r="134" spans="24:50" x14ac:dyDescent="0.15">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row>
    <row r="135" spans="24:50" x14ac:dyDescent="0.15">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row>
    <row r="136" spans="24:50" x14ac:dyDescent="0.15">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row>
    <row r="137" spans="24:50" x14ac:dyDescent="0.15">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row>
    <row r="138" spans="24:50" x14ac:dyDescent="0.15">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row>
    <row r="139" spans="24:50" x14ac:dyDescent="0.15">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row>
    <row r="140" spans="24:50" x14ac:dyDescent="0.15">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row>
    <row r="141" spans="24:50" x14ac:dyDescent="0.15">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row>
    <row r="142" spans="24:50" x14ac:dyDescent="0.15">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row>
    <row r="143" spans="24:50" x14ac:dyDescent="0.15">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row>
    <row r="144" spans="24:50" x14ac:dyDescent="0.15">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row>
    <row r="145" spans="24:50" x14ac:dyDescent="0.15">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row>
    <row r="146" spans="24:50" x14ac:dyDescent="0.15">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row>
    <row r="147" spans="24:50" x14ac:dyDescent="0.15">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row>
    <row r="148" spans="24:50" x14ac:dyDescent="0.15">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row>
    <row r="149" spans="24:50" x14ac:dyDescent="0.15">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row>
    <row r="150" spans="24:50" x14ac:dyDescent="0.15">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row>
    <row r="151" spans="24:50" x14ac:dyDescent="0.15">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row>
    <row r="152" spans="24:50" x14ac:dyDescent="0.15">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row>
    <row r="153" spans="24:50" x14ac:dyDescent="0.15">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row>
    <row r="154" spans="24:50" x14ac:dyDescent="0.15">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row>
    <row r="155" spans="24:50" x14ac:dyDescent="0.15">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row>
    <row r="156" spans="24:50" x14ac:dyDescent="0.15">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row>
    <row r="157" spans="24:50" x14ac:dyDescent="0.15">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row>
    <row r="158" spans="24:50" x14ac:dyDescent="0.15">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row>
    <row r="159" spans="24:50" x14ac:dyDescent="0.15">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row>
    <row r="160" spans="24:50" x14ac:dyDescent="0.15">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row>
    <row r="161" spans="24:50" x14ac:dyDescent="0.15">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row>
    <row r="162" spans="24:50" x14ac:dyDescent="0.15">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row>
    <row r="163" spans="24:50" x14ac:dyDescent="0.15">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row>
    <row r="164" spans="24:50" x14ac:dyDescent="0.15">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row>
    <row r="165" spans="24:50" x14ac:dyDescent="0.15">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row>
    <row r="166" spans="24:50" x14ac:dyDescent="0.15">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row>
    <row r="167" spans="24:50" x14ac:dyDescent="0.15">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row>
    <row r="168" spans="24:50" x14ac:dyDescent="0.15">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row>
    <row r="169" spans="24:50" x14ac:dyDescent="0.15">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row>
    <row r="170" spans="24:50" x14ac:dyDescent="0.15">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spans="24:50" x14ac:dyDescent="0.15">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row>
    <row r="172" spans="24:50" x14ac:dyDescent="0.15">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row>
    <row r="173" spans="24:50" x14ac:dyDescent="0.15">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row>
    <row r="174" spans="24:50" x14ac:dyDescent="0.15">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row>
    <row r="175" spans="24:50" x14ac:dyDescent="0.15">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row>
    <row r="176" spans="24:50" x14ac:dyDescent="0.15">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row>
    <row r="177" spans="24:50" x14ac:dyDescent="0.15">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row>
    <row r="178" spans="24:50" x14ac:dyDescent="0.15">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row>
    <row r="179" spans="24:50" x14ac:dyDescent="0.15">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row>
    <row r="180" spans="24:50" x14ac:dyDescent="0.15">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row>
    <row r="181" spans="24:50" x14ac:dyDescent="0.15">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row>
    <row r="182" spans="24:50" x14ac:dyDescent="0.15">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row>
    <row r="183" spans="24:50" x14ac:dyDescent="0.15">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row>
    <row r="184" spans="24:50" x14ac:dyDescent="0.15">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row>
    <row r="185" spans="24:50" x14ac:dyDescent="0.15">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row>
    <row r="186" spans="24:50" x14ac:dyDescent="0.15">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row>
    <row r="187" spans="24:50" x14ac:dyDescent="0.15">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row>
    <row r="188" spans="24:50" x14ac:dyDescent="0.15">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row>
    <row r="189" spans="24:50" x14ac:dyDescent="0.15">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row>
    <row r="190" spans="24:50" x14ac:dyDescent="0.15">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row>
    <row r="191" spans="24:50" x14ac:dyDescent="0.15">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row>
    <row r="192" spans="24:50" x14ac:dyDescent="0.15">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row>
    <row r="193" spans="24:50" x14ac:dyDescent="0.15">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row>
    <row r="194" spans="24:50" x14ac:dyDescent="0.15">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row>
    <row r="195" spans="24:50" x14ac:dyDescent="0.15">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row>
    <row r="196" spans="24:50" x14ac:dyDescent="0.15">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row>
    <row r="197" spans="24:50" x14ac:dyDescent="0.15">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row>
    <row r="198" spans="24:50" x14ac:dyDescent="0.15">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row>
    <row r="199" spans="24:50" x14ac:dyDescent="0.15">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row>
    <row r="200" spans="24:50" x14ac:dyDescent="0.15">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row>
    <row r="201" spans="24:50" x14ac:dyDescent="0.15">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row>
    <row r="202" spans="24:50" x14ac:dyDescent="0.15">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row>
    <row r="203" spans="24:50" x14ac:dyDescent="0.15">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row>
    <row r="204" spans="24:50" x14ac:dyDescent="0.15">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row>
    <row r="205" spans="24:50" x14ac:dyDescent="0.15">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row>
    <row r="206" spans="24:50" x14ac:dyDescent="0.15">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row>
    <row r="207" spans="24:50" x14ac:dyDescent="0.15">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row>
    <row r="208" spans="24:50" x14ac:dyDescent="0.15">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row>
    <row r="209" spans="24:50" x14ac:dyDescent="0.15">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row>
    <row r="210" spans="24:50" x14ac:dyDescent="0.15">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row>
    <row r="211" spans="24:50" x14ac:dyDescent="0.15">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row>
    <row r="212" spans="24:50" x14ac:dyDescent="0.15">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row>
    <row r="213" spans="24:50" x14ac:dyDescent="0.15">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row>
    <row r="214" spans="24:50" x14ac:dyDescent="0.15">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row>
    <row r="215" spans="24:50" x14ac:dyDescent="0.15">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row>
    <row r="216" spans="24:50" x14ac:dyDescent="0.15">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row>
    <row r="217" spans="24:50" x14ac:dyDescent="0.15">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row>
    <row r="218" spans="24:50" x14ac:dyDescent="0.15">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row>
    <row r="219" spans="24:50" x14ac:dyDescent="0.15">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row>
    <row r="220" spans="24:50" x14ac:dyDescent="0.15">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row>
    <row r="221" spans="24:50" x14ac:dyDescent="0.15">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row>
    <row r="222" spans="24:50" x14ac:dyDescent="0.15">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row>
    <row r="223" spans="24:50" x14ac:dyDescent="0.15">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row>
    <row r="224" spans="24:50" x14ac:dyDescent="0.15">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row>
    <row r="225" spans="24:50" x14ac:dyDescent="0.15">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row>
    <row r="226" spans="24:50" x14ac:dyDescent="0.15">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row>
  </sheetData>
  <sheetProtection algorithmName="SHA-512" hashValue="4Kt60oSfhOt1LjzY7fmiKBsxzyJj9x08LORy3NXIvR+xpauxXmFHm0sBDg3NbsXS3sUzturqVvUeu3XU33R+OQ==" saltValue="S1Bq3MkWdcOMaE34CsNKdg==" spinCount="100000" sheet="1" selectLockedCells="1"/>
  <mergeCells count="68">
    <mergeCell ref="S104:V104"/>
    <mergeCell ref="T100:V100"/>
    <mergeCell ref="O101:Q101"/>
    <mergeCell ref="T101:V101"/>
    <mergeCell ref="O102:Q102"/>
    <mergeCell ref="T102:V102"/>
    <mergeCell ref="O103:Q103"/>
    <mergeCell ref="T103:V103"/>
    <mergeCell ref="O91:R92"/>
    <mergeCell ref="N97:N103"/>
    <mergeCell ref="O97:Q97"/>
    <mergeCell ref="S97:S103"/>
    <mergeCell ref="T97:V97"/>
    <mergeCell ref="O98:Q98"/>
    <mergeCell ref="T98:V98"/>
    <mergeCell ref="O99:Q99"/>
    <mergeCell ref="T99:V99"/>
    <mergeCell ref="O100:Q100"/>
    <mergeCell ref="N67:R68"/>
    <mergeCell ref="O71:R72"/>
    <mergeCell ref="O77:R78"/>
    <mergeCell ref="O83:R84"/>
    <mergeCell ref="R85:W85"/>
    <mergeCell ref="O87:R88"/>
    <mergeCell ref="C58:E58"/>
    <mergeCell ref="C59:E59"/>
    <mergeCell ref="C60:E60"/>
    <mergeCell ref="B61:E62"/>
    <mergeCell ref="J61:K62"/>
    <mergeCell ref="L61:L62"/>
    <mergeCell ref="D46:E46"/>
    <mergeCell ref="D47:E47"/>
    <mergeCell ref="C48:E48"/>
    <mergeCell ref="B49:B60"/>
    <mergeCell ref="C49:D49"/>
    <mergeCell ref="O49:R50"/>
    <mergeCell ref="C50:D57"/>
    <mergeCell ref="R51:W51"/>
    <mergeCell ref="O53:R54"/>
    <mergeCell ref="O57:R58"/>
    <mergeCell ref="B29:E30"/>
    <mergeCell ref="J29:K30"/>
    <mergeCell ref="L29:L30"/>
    <mergeCell ref="B34:W34"/>
    <mergeCell ref="B37:B48"/>
    <mergeCell ref="C37:C47"/>
    <mergeCell ref="N37:R39"/>
    <mergeCell ref="D38:D44"/>
    <mergeCell ref="O42:R44"/>
    <mergeCell ref="D45:E45"/>
    <mergeCell ref="D15:E15"/>
    <mergeCell ref="C16:E16"/>
    <mergeCell ref="B17:B28"/>
    <mergeCell ref="C17:D17"/>
    <mergeCell ref="C18:D25"/>
    <mergeCell ref="C26:E26"/>
    <mergeCell ref="C27:E27"/>
    <mergeCell ref="C28:E28"/>
    <mergeCell ref="B1:W1"/>
    <mergeCell ref="B4:B16"/>
    <mergeCell ref="C4:C12"/>
    <mergeCell ref="D5:D9"/>
    <mergeCell ref="D10:E10"/>
    <mergeCell ref="D11:E11"/>
    <mergeCell ref="D12:E12"/>
    <mergeCell ref="C13:C15"/>
    <mergeCell ref="D13:E13"/>
    <mergeCell ref="D14:E14"/>
  </mergeCells>
  <phoneticPr fontId="1"/>
  <dataValidations count="4">
    <dataValidation type="list" allowBlank="1" showInputMessage="1" showErrorMessage="1" sqref="P73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P45">
      <formula1>"　,2ヶ月,1.5ヶ月,1ヶ月,0.5ヶ月"</formula1>
    </dataValidation>
    <dataValidation type="list" allowBlank="1" showInputMessage="1" showErrorMessage="1" sqref="P79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formula1>"　,一般用,業務用,臨時用"</formula1>
    </dataValidation>
    <dataValidation type="list" allowBlank="1" showInputMessage="1" showErrorMessage="1" sqref="P85 JL22 TH22 ADD22 AMZ22 AWV22 BGR22 BQN22 CAJ22 CKF22 CUB22 DDX22 DNT22 DXP22 EHL22 ERH22 FBD22 FKZ22 FUV22 GER22 GON22 GYJ22 HIF22 HSB22 IBX22 ILT22 IVP22 JFL22 JPH22 JZD22 KIZ22 KSV22 LCR22 LMN22 LWJ22 MGF22 MQB22 MZX22 NJT22 NTP22 ODL22 ONH22 OXD22 PGZ22 PQV22 QAR22 QKN22 QUJ22 REF22 ROB22 RXX22 SHT22 SRP22 TBL22 TLH22 TVD22 UEZ22 UOV22 UYR22 VIN22 VSJ22 WCF22 WMB22 WVX22 P65563 JL65563 TH65563 ADD65563 AMZ65563 AWV65563 BGR65563 BQN65563 CAJ65563 CKF65563 CUB65563 DDX65563 DNT65563 DXP65563 EHL65563 ERH65563 FBD65563 FKZ65563 FUV65563 GER65563 GON65563 GYJ65563 HIF65563 HSB65563 IBX65563 ILT65563 IVP65563 JFL65563 JPH65563 JZD65563 KIZ65563 KSV65563 LCR65563 LMN65563 LWJ65563 MGF65563 MQB65563 MZX65563 NJT65563 NTP65563 ODL65563 ONH65563 OXD65563 PGZ65563 PQV65563 QAR65563 QKN65563 QUJ65563 REF65563 ROB65563 RXX65563 SHT65563 SRP65563 TBL65563 TLH65563 TVD65563 UEZ65563 UOV65563 UYR65563 VIN65563 VSJ65563 WCF65563 WMB65563 WVX65563 P131099 JL131099 TH131099 ADD131099 AMZ131099 AWV131099 BGR131099 BQN131099 CAJ131099 CKF131099 CUB131099 DDX131099 DNT131099 DXP131099 EHL131099 ERH131099 FBD131099 FKZ131099 FUV131099 GER131099 GON131099 GYJ131099 HIF131099 HSB131099 IBX131099 ILT131099 IVP131099 JFL131099 JPH131099 JZD131099 KIZ131099 KSV131099 LCR131099 LMN131099 LWJ131099 MGF131099 MQB131099 MZX131099 NJT131099 NTP131099 ODL131099 ONH131099 OXD131099 PGZ131099 PQV131099 QAR131099 QKN131099 QUJ131099 REF131099 ROB131099 RXX131099 SHT131099 SRP131099 TBL131099 TLH131099 TVD131099 UEZ131099 UOV131099 UYR131099 VIN131099 VSJ131099 WCF131099 WMB131099 WVX131099 P196635 JL196635 TH196635 ADD196635 AMZ196635 AWV196635 BGR196635 BQN196635 CAJ196635 CKF196635 CUB196635 DDX196635 DNT196635 DXP196635 EHL196635 ERH196635 FBD196635 FKZ196635 FUV196635 GER196635 GON196635 GYJ196635 HIF196635 HSB196635 IBX196635 ILT196635 IVP196635 JFL196635 JPH196635 JZD196635 KIZ196635 KSV196635 LCR196635 LMN196635 LWJ196635 MGF196635 MQB196635 MZX196635 NJT196635 NTP196635 ODL196635 ONH196635 OXD196635 PGZ196635 PQV196635 QAR196635 QKN196635 QUJ196635 REF196635 ROB196635 RXX196635 SHT196635 SRP196635 TBL196635 TLH196635 TVD196635 UEZ196635 UOV196635 UYR196635 VIN196635 VSJ196635 WCF196635 WMB196635 WVX196635 P262171 JL262171 TH262171 ADD262171 AMZ262171 AWV262171 BGR262171 BQN262171 CAJ262171 CKF262171 CUB262171 DDX262171 DNT262171 DXP262171 EHL262171 ERH262171 FBD262171 FKZ262171 FUV262171 GER262171 GON262171 GYJ262171 HIF262171 HSB262171 IBX262171 ILT262171 IVP262171 JFL262171 JPH262171 JZD262171 KIZ262171 KSV262171 LCR262171 LMN262171 LWJ262171 MGF262171 MQB262171 MZX262171 NJT262171 NTP262171 ODL262171 ONH262171 OXD262171 PGZ262171 PQV262171 QAR262171 QKN262171 QUJ262171 REF262171 ROB262171 RXX262171 SHT262171 SRP262171 TBL262171 TLH262171 TVD262171 UEZ262171 UOV262171 UYR262171 VIN262171 VSJ262171 WCF262171 WMB262171 WVX262171 P327707 JL327707 TH327707 ADD327707 AMZ327707 AWV327707 BGR327707 BQN327707 CAJ327707 CKF327707 CUB327707 DDX327707 DNT327707 DXP327707 EHL327707 ERH327707 FBD327707 FKZ327707 FUV327707 GER327707 GON327707 GYJ327707 HIF327707 HSB327707 IBX327707 ILT327707 IVP327707 JFL327707 JPH327707 JZD327707 KIZ327707 KSV327707 LCR327707 LMN327707 LWJ327707 MGF327707 MQB327707 MZX327707 NJT327707 NTP327707 ODL327707 ONH327707 OXD327707 PGZ327707 PQV327707 QAR327707 QKN327707 QUJ327707 REF327707 ROB327707 RXX327707 SHT327707 SRP327707 TBL327707 TLH327707 TVD327707 UEZ327707 UOV327707 UYR327707 VIN327707 VSJ327707 WCF327707 WMB327707 WVX327707 P393243 JL393243 TH393243 ADD393243 AMZ393243 AWV393243 BGR393243 BQN393243 CAJ393243 CKF393243 CUB393243 DDX393243 DNT393243 DXP393243 EHL393243 ERH393243 FBD393243 FKZ393243 FUV393243 GER393243 GON393243 GYJ393243 HIF393243 HSB393243 IBX393243 ILT393243 IVP393243 JFL393243 JPH393243 JZD393243 KIZ393243 KSV393243 LCR393243 LMN393243 LWJ393243 MGF393243 MQB393243 MZX393243 NJT393243 NTP393243 ODL393243 ONH393243 OXD393243 PGZ393243 PQV393243 QAR393243 QKN393243 QUJ393243 REF393243 ROB393243 RXX393243 SHT393243 SRP393243 TBL393243 TLH393243 TVD393243 UEZ393243 UOV393243 UYR393243 VIN393243 VSJ393243 WCF393243 WMB393243 WVX393243 P458779 JL458779 TH458779 ADD458779 AMZ458779 AWV458779 BGR458779 BQN458779 CAJ458779 CKF458779 CUB458779 DDX458779 DNT458779 DXP458779 EHL458779 ERH458779 FBD458779 FKZ458779 FUV458779 GER458779 GON458779 GYJ458779 HIF458779 HSB458779 IBX458779 ILT458779 IVP458779 JFL458779 JPH458779 JZD458779 KIZ458779 KSV458779 LCR458779 LMN458779 LWJ458779 MGF458779 MQB458779 MZX458779 NJT458779 NTP458779 ODL458779 ONH458779 OXD458779 PGZ458779 PQV458779 QAR458779 QKN458779 QUJ458779 REF458779 ROB458779 RXX458779 SHT458779 SRP458779 TBL458779 TLH458779 TVD458779 UEZ458779 UOV458779 UYR458779 VIN458779 VSJ458779 WCF458779 WMB458779 WVX458779 P524315 JL524315 TH524315 ADD524315 AMZ524315 AWV524315 BGR524315 BQN524315 CAJ524315 CKF524315 CUB524315 DDX524315 DNT524315 DXP524315 EHL524315 ERH524315 FBD524315 FKZ524315 FUV524315 GER524315 GON524315 GYJ524315 HIF524315 HSB524315 IBX524315 ILT524315 IVP524315 JFL524315 JPH524315 JZD524315 KIZ524315 KSV524315 LCR524315 LMN524315 LWJ524315 MGF524315 MQB524315 MZX524315 NJT524315 NTP524315 ODL524315 ONH524315 OXD524315 PGZ524315 PQV524315 QAR524315 QKN524315 QUJ524315 REF524315 ROB524315 RXX524315 SHT524315 SRP524315 TBL524315 TLH524315 TVD524315 UEZ524315 UOV524315 UYR524315 VIN524315 VSJ524315 WCF524315 WMB524315 WVX524315 P589851 JL589851 TH589851 ADD589851 AMZ589851 AWV589851 BGR589851 BQN589851 CAJ589851 CKF589851 CUB589851 DDX589851 DNT589851 DXP589851 EHL589851 ERH589851 FBD589851 FKZ589851 FUV589851 GER589851 GON589851 GYJ589851 HIF589851 HSB589851 IBX589851 ILT589851 IVP589851 JFL589851 JPH589851 JZD589851 KIZ589851 KSV589851 LCR589851 LMN589851 LWJ589851 MGF589851 MQB589851 MZX589851 NJT589851 NTP589851 ODL589851 ONH589851 OXD589851 PGZ589851 PQV589851 QAR589851 QKN589851 QUJ589851 REF589851 ROB589851 RXX589851 SHT589851 SRP589851 TBL589851 TLH589851 TVD589851 UEZ589851 UOV589851 UYR589851 VIN589851 VSJ589851 WCF589851 WMB589851 WVX589851 P655387 JL655387 TH655387 ADD655387 AMZ655387 AWV655387 BGR655387 BQN655387 CAJ655387 CKF655387 CUB655387 DDX655387 DNT655387 DXP655387 EHL655387 ERH655387 FBD655387 FKZ655387 FUV655387 GER655387 GON655387 GYJ655387 HIF655387 HSB655387 IBX655387 ILT655387 IVP655387 JFL655387 JPH655387 JZD655387 KIZ655387 KSV655387 LCR655387 LMN655387 LWJ655387 MGF655387 MQB655387 MZX655387 NJT655387 NTP655387 ODL655387 ONH655387 OXD655387 PGZ655387 PQV655387 QAR655387 QKN655387 QUJ655387 REF655387 ROB655387 RXX655387 SHT655387 SRP655387 TBL655387 TLH655387 TVD655387 UEZ655387 UOV655387 UYR655387 VIN655387 VSJ655387 WCF655387 WMB655387 WVX655387 P720923 JL720923 TH720923 ADD720923 AMZ720923 AWV720923 BGR720923 BQN720923 CAJ720923 CKF720923 CUB720923 DDX720923 DNT720923 DXP720923 EHL720923 ERH720923 FBD720923 FKZ720923 FUV720923 GER720923 GON720923 GYJ720923 HIF720923 HSB720923 IBX720923 ILT720923 IVP720923 JFL720923 JPH720923 JZD720923 KIZ720923 KSV720923 LCR720923 LMN720923 LWJ720923 MGF720923 MQB720923 MZX720923 NJT720923 NTP720923 ODL720923 ONH720923 OXD720923 PGZ720923 PQV720923 QAR720923 QKN720923 QUJ720923 REF720923 ROB720923 RXX720923 SHT720923 SRP720923 TBL720923 TLH720923 TVD720923 UEZ720923 UOV720923 UYR720923 VIN720923 VSJ720923 WCF720923 WMB720923 WVX720923 P786459 JL786459 TH786459 ADD786459 AMZ786459 AWV786459 BGR786459 BQN786459 CAJ786459 CKF786459 CUB786459 DDX786459 DNT786459 DXP786459 EHL786459 ERH786459 FBD786459 FKZ786459 FUV786459 GER786459 GON786459 GYJ786459 HIF786459 HSB786459 IBX786459 ILT786459 IVP786459 JFL786459 JPH786459 JZD786459 KIZ786459 KSV786459 LCR786459 LMN786459 LWJ786459 MGF786459 MQB786459 MZX786459 NJT786459 NTP786459 ODL786459 ONH786459 OXD786459 PGZ786459 PQV786459 QAR786459 QKN786459 QUJ786459 REF786459 ROB786459 RXX786459 SHT786459 SRP786459 TBL786459 TLH786459 TVD786459 UEZ786459 UOV786459 UYR786459 VIN786459 VSJ786459 WCF786459 WMB786459 WVX786459 P851995 JL851995 TH851995 ADD851995 AMZ851995 AWV851995 BGR851995 BQN851995 CAJ851995 CKF851995 CUB851995 DDX851995 DNT851995 DXP851995 EHL851995 ERH851995 FBD851995 FKZ851995 FUV851995 GER851995 GON851995 GYJ851995 HIF851995 HSB851995 IBX851995 ILT851995 IVP851995 JFL851995 JPH851995 JZD851995 KIZ851995 KSV851995 LCR851995 LMN851995 LWJ851995 MGF851995 MQB851995 MZX851995 NJT851995 NTP851995 ODL851995 ONH851995 OXD851995 PGZ851995 PQV851995 QAR851995 QKN851995 QUJ851995 REF851995 ROB851995 RXX851995 SHT851995 SRP851995 TBL851995 TLH851995 TVD851995 UEZ851995 UOV851995 UYR851995 VIN851995 VSJ851995 WCF851995 WMB851995 WVX851995 P917531 JL917531 TH917531 ADD917531 AMZ917531 AWV917531 BGR917531 BQN917531 CAJ917531 CKF917531 CUB917531 DDX917531 DNT917531 DXP917531 EHL917531 ERH917531 FBD917531 FKZ917531 FUV917531 GER917531 GON917531 GYJ917531 HIF917531 HSB917531 IBX917531 ILT917531 IVP917531 JFL917531 JPH917531 JZD917531 KIZ917531 KSV917531 LCR917531 LMN917531 LWJ917531 MGF917531 MQB917531 MZX917531 NJT917531 NTP917531 ODL917531 ONH917531 OXD917531 PGZ917531 PQV917531 QAR917531 QKN917531 QUJ917531 REF917531 ROB917531 RXX917531 SHT917531 SRP917531 TBL917531 TLH917531 TVD917531 UEZ917531 UOV917531 UYR917531 VIN917531 VSJ917531 WCF917531 WMB917531 WVX917531 P983067 JL983067 TH983067 ADD983067 AMZ983067 AWV983067 BGR983067 BQN983067 CAJ983067 CKF983067 CUB983067 DDX983067 DNT983067 DXP983067 EHL983067 ERH983067 FBD983067 FKZ983067 FUV983067 GER983067 GON983067 GYJ983067 HIF983067 HSB983067 IBX983067 ILT983067 IVP983067 JFL983067 JPH983067 JZD983067 KIZ983067 KSV983067 LCR983067 LMN983067 LWJ983067 MGF983067 MQB983067 MZX983067 NJT983067 NTP983067 ODL983067 ONH983067 OXD983067 PGZ983067 PQV983067 QAR983067 QKN983067 QUJ983067 REF983067 ROB983067 RXX983067 SHT983067 SRP983067 TBL983067 TLH983067 TVD983067 UEZ983067 UOV983067 UYR983067 VIN983067 VSJ983067 WCF983067 WMB983067 WVX983067">
      <formula1>"　,13,20,25,40,50,75,100"</formula1>
    </dataValidation>
    <dataValidation type="list" allowBlank="1" showInputMessage="1" showErrorMessage="1" sqref="P89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7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P131103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P196639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P262175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P327711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P393247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P458783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P524319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P589855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P655391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P720927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P786463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P851999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P917535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P983071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P55">
      <formula1>"　,使用している,使用していない"</formula1>
    </dataValidation>
  </dataValidations>
  <printOptions horizontalCentered="1"/>
  <pageMargins left="0.78740157480314965" right="0.78740157480314965"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新現差引計算書上下水道料金簡易計算書  </vt:lpstr>
      <vt:lpstr>'新現差引計算書上下水道料金簡易計算書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行田市役所</dc:creator>
  <cp:lastModifiedBy>行田市役所</cp:lastModifiedBy>
  <cp:lastPrinted>2019-12-25T06:19:02Z</cp:lastPrinted>
  <dcterms:created xsi:type="dcterms:W3CDTF">2019-12-25T04:21:42Z</dcterms:created>
  <dcterms:modified xsi:type="dcterms:W3CDTF">2019-12-25T06:20:26Z</dcterms:modified>
</cp:coreProperties>
</file>