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3"/>
  <workbookPr codeName="ThisWorkbook" defaultThemeVersion="124226"/>
  <mc:AlternateContent xmlns:mc="http://schemas.openxmlformats.org/markup-compatibility/2006">
    <mc:Choice Requires="x15">
      <x15ac:absPath xmlns:x15ac="http://schemas.microsoft.com/office/spreadsheetml/2010/11/ac" url="D:\R7_賦課\【賦課担当】R070331引継ぎ\06 国保税試算\HP掲載用\"/>
    </mc:Choice>
  </mc:AlternateContent>
  <xr:revisionPtr revIDLastSave="0" documentId="13_ncr:1_{3A37EC57-6307-4AB4-B54F-628503E2A2C1}" xr6:coauthVersionLast="36" xr6:coauthVersionMax="36" xr10:uidLastSave="{00000000-0000-0000-0000-000000000000}"/>
  <bookViews>
    <workbookView xWindow="0" yWindow="0" windowWidth="20490" windowHeight="7530" activeTab="3" xr2:uid="{00000000-000D-0000-FFFF-FFFF00000000}"/>
  </bookViews>
  <sheets>
    <sheet name="医療・支援・介護" sheetId="4" r:id="rId1"/>
    <sheet name="子ども・子育て" sheetId="5" r:id="rId2"/>
    <sheet name="試算結果（合計）" sheetId="7" r:id="rId3"/>
    <sheet name="入力の仕方" sheetId="6" r:id="rId4"/>
  </sheets>
  <definedNames>
    <definedName name="_xlnm.Print_Area" localSheetId="0">医療・支援・介護!$B$1:$R$53</definedName>
  </definedNames>
  <calcPr calcId="191029"/>
</workbook>
</file>

<file path=xl/calcChain.xml><?xml version="1.0" encoding="utf-8"?>
<calcChain xmlns="http://schemas.openxmlformats.org/spreadsheetml/2006/main">
  <c r="H41" i="4" l="1"/>
  <c r="H40" i="4"/>
  <c r="H39" i="4"/>
  <c r="H38" i="4"/>
  <c r="H37" i="4"/>
  <c r="T17" i="4"/>
  <c r="T18" i="4"/>
  <c r="T19" i="4"/>
  <c r="T20" i="4"/>
  <c r="T21" i="4"/>
  <c r="T16" i="4"/>
  <c r="D10" i="7" l="1"/>
  <c r="N2" i="7" l="1"/>
  <c r="J14" i="5" l="1"/>
  <c r="J13" i="5"/>
  <c r="J12" i="5"/>
  <c r="J11" i="5"/>
  <c r="J10" i="5"/>
  <c r="J9" i="5"/>
  <c r="E12" i="5"/>
  <c r="E11" i="5"/>
  <c r="E10" i="5"/>
  <c r="E9" i="5"/>
  <c r="E14" i="5"/>
  <c r="E13" i="5"/>
  <c r="M13" i="5"/>
  <c r="E15" i="5" l="1"/>
  <c r="N2" i="5"/>
  <c r="L16" i="4" l="1"/>
  <c r="H36" i="4" s="1"/>
  <c r="I16" i="4" l="1"/>
  <c r="S16" i="4" l="1"/>
  <c r="L20" i="4"/>
  <c r="L21" i="4"/>
  <c r="L17" i="4"/>
  <c r="L18" i="4"/>
  <c r="L19" i="4"/>
  <c r="S17" i="4" l="1"/>
  <c r="D36" i="4"/>
  <c r="F36" i="4"/>
  <c r="L36" i="4" l="1"/>
  <c r="M16" i="4"/>
  <c r="Q16" i="4" s="1"/>
  <c r="I17" i="4"/>
  <c r="P16" i="4" l="1"/>
  <c r="G36" i="4" s="1"/>
  <c r="I21" i="4"/>
  <c r="S18" i="4" l="1"/>
  <c r="S19" i="4" l="1"/>
  <c r="S20" i="4"/>
  <c r="S21" i="4"/>
  <c r="O39" i="4" l="1"/>
  <c r="M21" i="4"/>
  <c r="P21" i="4" s="1"/>
  <c r="I18" i="4"/>
  <c r="I19" i="4"/>
  <c r="M19" i="4" s="1"/>
  <c r="P19" i="4" s="1"/>
  <c r="I20" i="4"/>
  <c r="M17" i="4"/>
  <c r="Q21" i="4" l="1"/>
  <c r="Q19" i="4"/>
  <c r="P17" i="4"/>
  <c r="E37" i="4" s="1"/>
  <c r="F10" i="5" s="1"/>
  <c r="I10" i="5" s="1"/>
  <c r="H10" i="5" s="1"/>
  <c r="Q17" i="4"/>
  <c r="E41" i="4"/>
  <c r="F14" i="5" s="1"/>
  <c r="I14" i="5" s="1"/>
  <c r="H14" i="5" s="1"/>
  <c r="G41" i="4"/>
  <c r="E39" i="4"/>
  <c r="G39" i="4"/>
  <c r="M20" i="4"/>
  <c r="M18" i="4"/>
  <c r="E36" i="4"/>
  <c r="F9" i="5" s="1"/>
  <c r="I9" i="5" s="1"/>
  <c r="H9" i="5" s="1"/>
  <c r="F12" i="5" l="1"/>
  <c r="I12" i="5" s="1"/>
  <c r="H12" i="5" s="1"/>
  <c r="G37" i="4"/>
  <c r="K37" i="4" s="1"/>
  <c r="P18" i="4"/>
  <c r="E38" i="4" s="1"/>
  <c r="F11" i="5" s="1"/>
  <c r="I11" i="5" s="1"/>
  <c r="H11" i="5" s="1"/>
  <c r="Q18" i="4"/>
  <c r="P20" i="4"/>
  <c r="E40" i="4" s="1"/>
  <c r="F13" i="5" s="1"/>
  <c r="I13" i="5" s="1"/>
  <c r="H13" i="5" s="1"/>
  <c r="Q20" i="4"/>
  <c r="G40" i="4"/>
  <c r="K36" i="4"/>
  <c r="N2" i="4"/>
  <c r="G38" i="4" l="1"/>
  <c r="F15" i="5"/>
  <c r="L11" i="5" s="1"/>
  <c r="L15" i="5" s="1"/>
  <c r="E42" i="4"/>
  <c r="D41" i="4"/>
  <c r="D40" i="4"/>
  <c r="D39" i="4"/>
  <c r="D38" i="4"/>
  <c r="D37" i="4"/>
  <c r="D42" i="4" l="1"/>
  <c r="C41" i="4" l="1"/>
  <c r="C40" i="4"/>
  <c r="C39" i="4"/>
  <c r="C38" i="4"/>
  <c r="C37" i="4"/>
  <c r="C21" i="4"/>
  <c r="C20" i="4"/>
  <c r="C19" i="4"/>
  <c r="C18" i="4"/>
  <c r="C17" i="4"/>
  <c r="F38" i="4" l="1"/>
  <c r="L38" i="4" s="1"/>
  <c r="F39" i="4"/>
  <c r="L39" i="4" s="1"/>
  <c r="F40" i="4"/>
  <c r="L40" i="4" s="1"/>
  <c r="F41" i="4"/>
  <c r="L41" i="4" s="1"/>
  <c r="F37" i="4"/>
  <c r="L37" i="4" s="1"/>
  <c r="J37" i="4" s="1"/>
  <c r="F42" i="4" l="1"/>
  <c r="H42" i="4" l="1"/>
  <c r="K51" i="4" l="1"/>
  <c r="K52" i="4"/>
  <c r="K50" i="4"/>
  <c r="J36" i="4"/>
  <c r="K39" i="4" l="1"/>
  <c r="K41" i="4" l="1"/>
  <c r="J41" i="4" s="1"/>
  <c r="K40" i="4"/>
  <c r="J40" i="4" s="1"/>
  <c r="J39" i="4"/>
  <c r="P22" i="4"/>
  <c r="K38" i="4"/>
  <c r="J38" i="4" s="1"/>
  <c r="Q22" i="4"/>
  <c r="G42" i="4" l="1"/>
  <c r="N51" i="4" s="1"/>
  <c r="D21" i="5" l="1"/>
  <c r="G21" i="5" s="1"/>
  <c r="P51" i="4"/>
  <c r="N50" i="4"/>
  <c r="N37" i="4"/>
  <c r="N52" i="4"/>
  <c r="D16" i="7" l="1"/>
  <c r="G16" i="7" s="1"/>
  <c r="D22" i="5"/>
  <c r="D17" i="7" s="1"/>
  <c r="D20" i="5"/>
  <c r="D15" i="7" s="1"/>
  <c r="N41" i="4"/>
  <c r="C8" i="7"/>
  <c r="H8" i="7" s="1"/>
  <c r="P52" i="4"/>
  <c r="P50" i="4"/>
  <c r="G22" i="5" l="1"/>
  <c r="G20" i="5"/>
  <c r="G15" i="7"/>
  <c r="G17" i="7"/>
</calcChain>
</file>

<file path=xl/sharedStrings.xml><?xml version="1.0" encoding="utf-8"?>
<sst xmlns="http://schemas.openxmlformats.org/spreadsheetml/2006/main" count="241" uniqueCount="143">
  <si>
    <t>１ヶ月あたりの目安</t>
    <phoneticPr fontId="1"/>
  </si>
  <si>
    <t>所得割額</t>
    <rPh sb="0" eb="2">
      <t>ショトク</t>
    </rPh>
    <rPh sb="2" eb="3">
      <t>ワリ</t>
    </rPh>
    <rPh sb="3" eb="4">
      <t>ガク</t>
    </rPh>
    <phoneticPr fontId="1"/>
  </si>
  <si>
    <t>均等割額</t>
    <rPh sb="0" eb="2">
      <t>キントウ</t>
    </rPh>
    <rPh sb="2" eb="3">
      <t>ワリ</t>
    </rPh>
    <rPh sb="3" eb="4">
      <t>ガク</t>
    </rPh>
    <phoneticPr fontId="1"/>
  </si>
  <si>
    <t>合計額</t>
    <rPh sb="0" eb="2">
      <t>ゴウケイ</t>
    </rPh>
    <rPh sb="2" eb="3">
      <t>ガク</t>
    </rPh>
    <phoneticPr fontId="1"/>
  </si>
  <si>
    <t>円／月</t>
    <rPh sb="2" eb="3">
      <t>ツキ</t>
    </rPh>
    <phoneticPr fontId="1"/>
  </si>
  <si>
    <t>軽減対象となる前年中の総所得金額等の基準</t>
    <rPh sb="0" eb="2">
      <t>ケイゲン</t>
    </rPh>
    <rPh sb="2" eb="4">
      <t>タイショウ</t>
    </rPh>
    <rPh sb="7" eb="10">
      <t>ゼンネンチュウ</t>
    </rPh>
    <rPh sb="11" eb="14">
      <t>ソウショトク</t>
    </rPh>
    <rPh sb="14" eb="16">
      <t>キンガク</t>
    </rPh>
    <rPh sb="16" eb="17">
      <t>トウ</t>
    </rPh>
    <rPh sb="18" eb="20">
      <t>キジュン</t>
    </rPh>
    <phoneticPr fontId="1"/>
  </si>
  <si>
    <t>７　割</t>
    <rPh sb="2" eb="3">
      <t>ワリ</t>
    </rPh>
    <phoneticPr fontId="1"/>
  </si>
  <si>
    <t>５　割</t>
    <rPh sb="2" eb="3">
      <t>ワリ</t>
    </rPh>
    <phoneticPr fontId="1"/>
  </si>
  <si>
    <t>２　割</t>
    <rPh sb="2" eb="3">
      <t>ワリ</t>
    </rPh>
    <phoneticPr fontId="1"/>
  </si>
  <si>
    <t>※期別の納付金額とは異なります。</t>
    <rPh sb="1" eb="2">
      <t>キ</t>
    </rPh>
    <phoneticPr fontId="1"/>
  </si>
  <si>
    <t>介護分</t>
    <rPh sb="0" eb="2">
      <t>カイゴ</t>
    </rPh>
    <rPh sb="2" eb="3">
      <t>ブン</t>
    </rPh>
    <phoneticPr fontId="1"/>
  </si>
  <si>
    <t>医療・支援分</t>
    <rPh sb="0" eb="2">
      <t>イリョウ</t>
    </rPh>
    <rPh sb="3" eb="5">
      <t>シエン</t>
    </rPh>
    <rPh sb="5" eb="6">
      <t>ブン</t>
    </rPh>
    <phoneticPr fontId="1"/>
  </si>
  <si>
    <t>軽減割合</t>
    <rPh sb="0" eb="2">
      <t>ケイゲン</t>
    </rPh>
    <rPh sb="2" eb="4">
      <t>ワリアイ</t>
    </rPh>
    <phoneticPr fontId="1"/>
  </si>
  <si>
    <t>円／年</t>
    <phoneticPr fontId="1"/>
  </si>
  <si>
    <t>世帯主</t>
    <rPh sb="0" eb="3">
      <t>セタイヌシ</t>
    </rPh>
    <phoneticPr fontId="1"/>
  </si>
  <si>
    <t>左記以外の
所得金額</t>
    <rPh sb="0" eb="2">
      <t>サキ</t>
    </rPh>
    <rPh sb="2" eb="4">
      <t>イガイ</t>
    </rPh>
    <rPh sb="6" eb="8">
      <t>ショトク</t>
    </rPh>
    <rPh sb="8" eb="10">
      <t>キンガク</t>
    </rPh>
    <phoneticPr fontId="1"/>
  </si>
  <si>
    <t>所得金額
調整控除額</t>
    <rPh sb="0" eb="2">
      <t>ショトク</t>
    </rPh>
    <rPh sb="2" eb="4">
      <t>キンガク</t>
    </rPh>
    <rPh sb="5" eb="7">
      <t>チョウセイ</t>
    </rPh>
    <rPh sb="7" eb="9">
      <t>コウジョ</t>
    </rPh>
    <rPh sb="9" eb="10">
      <t>ガク</t>
    </rPh>
    <phoneticPr fontId="1"/>
  </si>
  <si>
    <t>基準総所得金額</t>
    <rPh sb="0" eb="7">
      <t>キジュンソウショトクキンガク</t>
    </rPh>
    <phoneticPr fontId="1"/>
  </si>
  <si>
    <t>単位（円）</t>
    <rPh sb="0" eb="2">
      <t>タンイ</t>
    </rPh>
    <rPh sb="3" eb="4">
      <t>エン</t>
    </rPh>
    <phoneticPr fontId="1"/>
  </si>
  <si>
    <t>世帯主
及び
国保加入者</t>
    <rPh sb="0" eb="3">
      <t>セタイヌシ</t>
    </rPh>
    <rPh sb="4" eb="5">
      <t>オヨ</t>
    </rPh>
    <rPh sb="7" eb="12">
      <t>コクホカニュウシャ</t>
    </rPh>
    <phoneticPr fontId="1"/>
  </si>
  <si>
    <t>【加入者の区分と基準総所得金額】</t>
    <phoneticPr fontId="1"/>
  </si>
  <si>
    <t>　【個人別賦課明細】</t>
    <phoneticPr fontId="1"/>
  </si>
  <si>
    <t xml:space="preserve">円／年
</t>
    <phoneticPr fontId="1"/>
  </si>
  <si>
    <t>医療分</t>
    <rPh sb="0" eb="2">
      <t>イリョウ</t>
    </rPh>
    <rPh sb="2" eb="3">
      <t>ブン</t>
    </rPh>
    <phoneticPr fontId="1"/>
  </si>
  <si>
    <t>支援分</t>
    <rPh sb="0" eb="2">
      <t>シエン</t>
    </rPh>
    <rPh sb="2" eb="3">
      <t>ブン</t>
    </rPh>
    <phoneticPr fontId="1"/>
  </si>
  <si>
    <t>介護分</t>
    <rPh sb="0" eb="2">
      <t>カイゴ</t>
    </rPh>
    <rPh sb="2" eb="3">
      <t>ブン</t>
    </rPh>
    <phoneticPr fontId="1"/>
  </si>
  <si>
    <t>均等割額（円）</t>
    <rPh sb="0" eb="4">
      <t>キントウワリガク</t>
    </rPh>
    <rPh sb="5" eb="6">
      <t>エン</t>
    </rPh>
    <phoneticPr fontId="1"/>
  </si>
  <si>
    <t>所得割額（％）</t>
    <rPh sb="0" eb="2">
      <t>ショトク</t>
    </rPh>
    <rPh sb="2" eb="3">
      <t>ワリ</t>
    </rPh>
    <rPh sb="3" eb="4">
      <t>ガク</t>
    </rPh>
    <phoneticPr fontId="1"/>
  </si>
  <si>
    <t>賦課限度額（円）</t>
    <rPh sb="0" eb="5">
      <t>フカゲンドガク</t>
    </rPh>
    <rPh sb="6" eb="7">
      <t>エン</t>
    </rPh>
    <phoneticPr fontId="1"/>
  </si>
  <si>
    <t>税率等</t>
    <rPh sb="0" eb="2">
      <t>ゼイリツ</t>
    </rPh>
    <rPh sb="2" eb="3">
      <t>トウ</t>
    </rPh>
    <phoneticPr fontId="1"/>
  </si>
  <si>
    <t>※40～64歳の方は介護分を含みます。</t>
    <phoneticPr fontId="1"/>
  </si>
  <si>
    <t>※概算のため、実際の税額とは異なる場合があります。</t>
    <phoneticPr fontId="1"/>
  </si>
  <si>
    <t>　□　試算結果は、国民健康険税額（概算）に表示されます。</t>
    <rPh sb="3" eb="5">
      <t>シサン</t>
    </rPh>
    <rPh sb="5" eb="7">
      <t>ケッカ</t>
    </rPh>
    <rPh sb="21" eb="23">
      <t>ヒョウジ</t>
    </rPh>
    <phoneticPr fontId="1"/>
  </si>
  <si>
    <t xml:space="preserve">【試算方法】
</t>
    <rPh sb="1" eb="3">
      <t>シサン</t>
    </rPh>
    <rPh sb="3" eb="5">
      <t>ホウホウ</t>
    </rPh>
    <phoneticPr fontId="1"/>
  </si>
  <si>
    <t xml:space="preserve">合計額 </t>
    <rPh sb="0" eb="2">
      <t>ゴウケイ</t>
    </rPh>
    <rPh sb="2" eb="3">
      <t>ガク</t>
    </rPh>
    <phoneticPr fontId="1"/>
  </si>
  <si>
    <t>区分</t>
    <rPh sb="0" eb="2">
      <t>クブン</t>
    </rPh>
    <phoneticPr fontId="1"/>
  </si>
  <si>
    <t>軽減基準
所得金額</t>
    <rPh sb="0" eb="2">
      <t>ケイゲン</t>
    </rPh>
    <rPh sb="2" eb="4">
      <t>キジュン</t>
    </rPh>
    <rPh sb="5" eb="7">
      <t>ショトク</t>
    </rPh>
    <rPh sb="7" eb="9">
      <t>キンガク</t>
    </rPh>
    <phoneticPr fontId="1"/>
  </si>
  <si>
    <t>国保加入者、国保から後期高齢者医療制度に移行した方（以下「被保険者」）及び世帯主の軽減基準所得金額の合計額が次の基準以下の場合は、均等割額が軽減されます。</t>
    <rPh sb="35" eb="36">
      <t>オヨ</t>
    </rPh>
    <rPh sb="37" eb="40">
      <t>セタイヌシ</t>
    </rPh>
    <rPh sb="41" eb="47">
      <t>ケイゲンキジュンショトク</t>
    </rPh>
    <rPh sb="47" eb="49">
      <t>キンガク</t>
    </rPh>
    <phoneticPr fontId="1"/>
  </si>
  <si>
    <t>給与
収入金額</t>
    <rPh sb="0" eb="2">
      <t>キュウヨ</t>
    </rPh>
    <rPh sb="3" eb="5">
      <t>シュウニュウ</t>
    </rPh>
    <rPh sb="5" eb="6">
      <t>キン</t>
    </rPh>
    <rPh sb="6" eb="7">
      <t>ガク</t>
    </rPh>
    <phoneticPr fontId="1"/>
  </si>
  <si>
    <t>給与
所得金額</t>
    <rPh sb="0" eb="2">
      <t>キュウヨ</t>
    </rPh>
    <rPh sb="3" eb="5">
      <t>ショトク</t>
    </rPh>
    <rPh sb="5" eb="6">
      <t>キン</t>
    </rPh>
    <rPh sb="6" eb="7">
      <t>ガク</t>
    </rPh>
    <phoneticPr fontId="1"/>
  </si>
  <si>
    <t>公的年金等収入金額</t>
    <rPh sb="0" eb="2">
      <t>コウテキ</t>
    </rPh>
    <rPh sb="2" eb="5">
      <t>ネンキンナド</t>
    </rPh>
    <rPh sb="5" eb="7">
      <t>シュウニュウ</t>
    </rPh>
    <rPh sb="7" eb="8">
      <t>キン</t>
    </rPh>
    <rPh sb="8" eb="9">
      <t>ガク</t>
    </rPh>
    <phoneticPr fontId="1"/>
  </si>
  <si>
    <t>年金
所得金額</t>
    <rPh sb="0" eb="2">
      <t>ネンキン</t>
    </rPh>
    <rPh sb="3" eb="5">
      <t>ショトク</t>
    </rPh>
    <rPh sb="5" eb="6">
      <t>キン</t>
    </rPh>
    <rPh sb="6" eb="7">
      <t>ガク</t>
    </rPh>
    <phoneticPr fontId="1"/>
  </si>
  <si>
    <t>うち専従者
給与収入金額</t>
    <rPh sb="2" eb="5">
      <t>センジュウシャ</t>
    </rPh>
    <rPh sb="6" eb="10">
      <t>キュウヨシュウニュウ</t>
    </rPh>
    <rPh sb="10" eb="12">
      <t>キンガク</t>
    </rPh>
    <phoneticPr fontId="1"/>
  </si>
  <si>
    <t>給与
所得者等</t>
    <phoneticPr fontId="1"/>
  </si>
  <si>
    <t>専従者
控除額</t>
    <rPh sb="0" eb="3">
      <t>センジュウシャ</t>
    </rPh>
    <rPh sb="4" eb="6">
      <t>コウジョ</t>
    </rPh>
    <rPh sb="6" eb="7">
      <t>ガク</t>
    </rPh>
    <phoneticPr fontId="1"/>
  </si>
  <si>
    <t>（参考）基準となる
軽減基準所得金額</t>
    <rPh sb="1" eb="3">
      <t>サンコウ</t>
    </rPh>
    <rPh sb="4" eb="6">
      <t>キジュン</t>
    </rPh>
    <rPh sb="10" eb="14">
      <t>ケイゲンキジュン</t>
    </rPh>
    <rPh sb="14" eb="18">
      <t>ショトクキンガク</t>
    </rPh>
    <phoneticPr fontId="1"/>
  </si>
  <si>
    <t>（参考）</t>
    <rPh sb="1" eb="3">
      <t>サンコウ</t>
    </rPh>
    <phoneticPr fontId="1"/>
  </si>
  <si>
    <t>軽減基準用
給与所得金額</t>
    <rPh sb="0" eb="2">
      <t>ケイゲン</t>
    </rPh>
    <rPh sb="2" eb="4">
      <t>キジュン</t>
    </rPh>
    <rPh sb="4" eb="5">
      <t>ヨウ</t>
    </rPh>
    <rPh sb="6" eb="8">
      <t>キュウヨ</t>
    </rPh>
    <rPh sb="8" eb="10">
      <t>ショトク</t>
    </rPh>
    <rPh sb="10" eb="12">
      <t>キンガク</t>
    </rPh>
    <phoneticPr fontId="1"/>
  </si>
  <si>
    <t>（選択式）</t>
    <phoneticPr fontId="1"/>
  </si>
  <si>
    <t xml:space="preserve">
国保加入</t>
    <rPh sb="1" eb="3">
      <t>コクホ</t>
    </rPh>
    <rPh sb="3" eb="5">
      <t>カニュウ</t>
    </rPh>
    <phoneticPr fontId="1"/>
  </si>
  <si>
    <t xml:space="preserve">
年齢</t>
    <rPh sb="1" eb="3">
      <t>ネンレイ</t>
    </rPh>
    <phoneticPr fontId="1"/>
  </si>
  <si>
    <t>※2　総所得金額等とは、総所得金額及び申告分離課税の所得（山林所得、特別控除後の土地建物等に係る譲渡所得、株式譲渡・配当・先物所得等）の合計額をいいます。</t>
    <rPh sb="12" eb="15">
      <t>ソウショトク</t>
    </rPh>
    <phoneticPr fontId="1"/>
  </si>
  <si>
    <r>
      <t xml:space="preserve">非自発的
失業者
</t>
    </r>
    <r>
      <rPr>
        <sz val="8"/>
        <rFont val="ＭＳ Ｐゴシック"/>
        <family val="3"/>
        <charset val="128"/>
        <scheme val="minor"/>
      </rPr>
      <t>（※1）</t>
    </r>
    <rPh sb="0" eb="1">
      <t>ヒ</t>
    </rPh>
    <rPh sb="1" eb="4">
      <t>ジハツテキ</t>
    </rPh>
    <rPh sb="5" eb="8">
      <t>シツギョウシャ</t>
    </rPh>
    <phoneticPr fontId="1"/>
  </si>
  <si>
    <r>
      <t xml:space="preserve">
総所得
金額等
</t>
    </r>
    <r>
      <rPr>
        <sz val="8"/>
        <rFont val="ＭＳ Ｐゴシック"/>
        <family val="3"/>
        <charset val="128"/>
        <scheme val="minor"/>
      </rPr>
      <t>（※2）</t>
    </r>
    <phoneticPr fontId="1"/>
  </si>
  <si>
    <t>※1　非自発的失業者とは、雇用保険受給資格者証の離職理由が １１，１２，２１，２２，２３，３１，３２，３３，３４ に該当する６５歳未満の方をいいます。</t>
    <rPh sb="3" eb="10">
      <t>ヒジハツテキシツギョウシャ</t>
    </rPh>
    <rPh sb="68" eb="69">
      <t>カタ</t>
    </rPh>
    <phoneticPr fontId="1"/>
  </si>
  <si>
    <t xml:space="preserve">        非自発的失業者欄で「該当する」を選択した場合、総所得金額等及び軽減基準所得金額は、給与所得金額（専従者給与収入金額は除く。）を３０％に軽減した後の額を表示しています。</t>
    <rPh sb="14" eb="15">
      <t>シャ</t>
    </rPh>
    <rPh sb="15" eb="16">
      <t>ラン</t>
    </rPh>
    <rPh sb="18" eb="20">
      <t>ガイトウ</t>
    </rPh>
    <rPh sb="24" eb="26">
      <t>センタク</t>
    </rPh>
    <rPh sb="28" eb="30">
      <t>バアイ</t>
    </rPh>
    <rPh sb="31" eb="36">
      <t>ソウショトクキンガク</t>
    </rPh>
    <rPh sb="36" eb="37">
      <t>トウ</t>
    </rPh>
    <rPh sb="37" eb="38">
      <t>オヨ</t>
    </rPh>
    <rPh sb="39" eb="41">
      <t>ケイゲン</t>
    </rPh>
    <rPh sb="41" eb="43">
      <t>キジュン</t>
    </rPh>
    <rPh sb="43" eb="45">
      <t>ショトク</t>
    </rPh>
    <rPh sb="45" eb="47">
      <t>キンガク</t>
    </rPh>
    <rPh sb="56" eb="59">
      <t>センジュウシャ</t>
    </rPh>
    <rPh sb="59" eb="63">
      <t>キュウヨシュウニュウ</t>
    </rPh>
    <rPh sb="63" eb="65">
      <t>キンガク</t>
    </rPh>
    <rPh sb="66" eb="67">
      <t>ノゾ</t>
    </rPh>
    <phoneticPr fontId="1"/>
  </si>
  <si>
    <t>作成</t>
    <rPh sb="0" eb="2">
      <t>サクセイ</t>
    </rPh>
    <phoneticPr fontId="1"/>
  </si>
  <si>
    <t>　　　43万円＋（給与所得者等の数-1）×10万円</t>
    <rPh sb="5" eb="7">
      <t>マンエン</t>
    </rPh>
    <rPh sb="9" eb="11">
      <t>キュウヨ</t>
    </rPh>
    <rPh sb="11" eb="13">
      <t>ショトク</t>
    </rPh>
    <rPh sb="13" eb="14">
      <t>シャ</t>
    </rPh>
    <rPh sb="14" eb="15">
      <t>トウ</t>
    </rPh>
    <rPh sb="16" eb="17">
      <t>カズ</t>
    </rPh>
    <rPh sb="23" eb="25">
      <t>マンエン</t>
    </rPh>
    <phoneticPr fontId="1"/>
  </si>
  <si>
    <t>　（賦課限度額は、</t>
    <rPh sb="2" eb="4">
      <t>フカ</t>
    </rPh>
    <rPh sb="4" eb="6">
      <t>ゲンド</t>
    </rPh>
    <rPh sb="6" eb="7">
      <t>ガク</t>
    </rPh>
    <phoneticPr fontId="1"/>
  </si>
  <si>
    <t>円/年）</t>
    <rPh sb="0" eb="1">
      <t>エン</t>
    </rPh>
    <phoneticPr fontId="1"/>
  </si>
  <si>
    <t>~</t>
    <phoneticPr fontId="1"/>
  </si>
  <si>
    <t>控除額</t>
    <rPh sb="0" eb="3">
      <t>コウジョガク</t>
    </rPh>
    <phoneticPr fontId="1"/>
  </si>
  <si>
    <t>割合</t>
    <rPh sb="0" eb="2">
      <t>ワリアイ</t>
    </rPh>
    <phoneticPr fontId="1"/>
  </si>
  <si>
    <t>公的年金受給額</t>
    <rPh sb="0" eb="2">
      <t>コウテキ</t>
    </rPh>
    <rPh sb="2" eb="4">
      <t>ネンキン</t>
    </rPh>
    <rPh sb="4" eb="7">
      <t>ジュキュウガク</t>
    </rPh>
    <phoneticPr fontId="1"/>
  </si>
  <si>
    <t>年齢区分</t>
    <rPh sb="0" eb="4">
      <t>ネンレイクブン</t>
    </rPh>
    <phoneticPr fontId="1"/>
  </si>
  <si>
    <t>公的年金に係る雑所得の速算</t>
    <rPh sb="0" eb="4">
      <t>コウテキネンキン</t>
    </rPh>
    <rPh sb="5" eb="6">
      <t>カカ</t>
    </rPh>
    <rPh sb="7" eb="10">
      <t>ザツショトク</t>
    </rPh>
    <rPh sb="11" eb="13">
      <t>ソクサン</t>
    </rPh>
    <phoneticPr fontId="1"/>
  </si>
  <si>
    <t>軽減判定に必要な数字</t>
    <rPh sb="0" eb="4">
      <t>ケイゲンハンテイ</t>
    </rPh>
    <rPh sb="5" eb="7">
      <t>ヒツヨウ</t>
    </rPh>
    <rPh sb="8" eb="10">
      <t>スウジ</t>
    </rPh>
    <phoneticPr fontId="1"/>
  </si>
  <si>
    <t>７割軽減</t>
    <rPh sb="1" eb="2">
      <t>ワリ</t>
    </rPh>
    <rPh sb="2" eb="4">
      <t>ケイゲン</t>
    </rPh>
    <phoneticPr fontId="1"/>
  </si>
  <si>
    <t>５割軽減</t>
    <rPh sb="1" eb="2">
      <t>ワリ</t>
    </rPh>
    <rPh sb="2" eb="4">
      <t>ケイゲン</t>
    </rPh>
    <phoneticPr fontId="1"/>
  </si>
  <si>
    <t>２割軽減</t>
    <rPh sb="1" eb="2">
      <t>ワリ</t>
    </rPh>
    <rPh sb="2" eb="4">
      <t>ケイゲン</t>
    </rPh>
    <phoneticPr fontId="1"/>
  </si>
  <si>
    <t>給与所得の速算表</t>
    <rPh sb="0" eb="4">
      <t>キュウヨショトク</t>
    </rPh>
    <rPh sb="5" eb="8">
      <t>ソクサンヒョウ</t>
    </rPh>
    <phoneticPr fontId="1"/>
  </si>
  <si>
    <t>非自発的失業者軽減用</t>
    <rPh sb="0" eb="4">
      <t>ヒジハツテキ</t>
    </rPh>
    <rPh sb="4" eb="7">
      <t>シツギョウシャ</t>
    </rPh>
    <rPh sb="7" eb="10">
      <t>ケイゲンヨウ</t>
    </rPh>
    <phoneticPr fontId="1"/>
  </si>
  <si>
    <t>所得金額調整控除用</t>
    <rPh sb="0" eb="4">
      <t>ショトクキンガク</t>
    </rPh>
    <rPh sb="4" eb="9">
      <t>チョウセイコウジョヨウ</t>
    </rPh>
    <phoneticPr fontId="1"/>
  </si>
  <si>
    <t>M16-21</t>
    <phoneticPr fontId="1"/>
  </si>
  <si>
    <t>P16-21</t>
    <phoneticPr fontId="1"/>
  </si>
  <si>
    <t>I16-21</t>
    <phoneticPr fontId="1"/>
  </si>
  <si>
    <t>L16-21</t>
    <phoneticPr fontId="1"/>
  </si>
  <si>
    <t>E36-41</t>
    <phoneticPr fontId="1"/>
  </si>
  <si>
    <t>G36-41</t>
    <phoneticPr fontId="1"/>
  </si>
  <si>
    <t>N50-52</t>
    <phoneticPr fontId="1"/>
  </si>
  <si>
    <t>L50-52</t>
    <phoneticPr fontId="1"/>
  </si>
  <si>
    <t>S16-21</t>
    <phoneticPr fontId="1"/>
  </si>
  <si>
    <t>軽減基準所得金額</t>
    <rPh sb="0" eb="8">
      <t>ケイゲンキジュンショトクキンガク</t>
    </rPh>
    <phoneticPr fontId="1"/>
  </si>
  <si>
    <r>
      <t>昭和</t>
    </r>
    <r>
      <rPr>
        <sz val="11"/>
        <color rgb="FFFF0000"/>
        <rFont val="ＭＳ Ｐゴシック"/>
        <family val="3"/>
        <charset val="128"/>
        <scheme val="minor"/>
      </rPr>
      <t>36</t>
    </r>
    <r>
      <rPr>
        <sz val="11"/>
        <rFont val="ＭＳ Ｐゴシック"/>
        <family val="3"/>
        <charset val="128"/>
        <scheme val="minor"/>
      </rPr>
      <t xml:space="preserve">年
1月2日以降
生まれ
</t>
    </r>
    <rPh sb="0" eb="2">
      <t>ショウワ</t>
    </rPh>
    <rPh sb="4" eb="5">
      <t>ネン</t>
    </rPh>
    <rPh sb="7" eb="8">
      <t>ガツ</t>
    </rPh>
    <rPh sb="9" eb="10">
      <t>ニチ</t>
    </rPh>
    <rPh sb="10" eb="12">
      <t>イコウ</t>
    </rPh>
    <rPh sb="13" eb="14">
      <t>ウ</t>
    </rPh>
    <phoneticPr fontId="1"/>
  </si>
  <si>
    <r>
      <t>昭和</t>
    </r>
    <r>
      <rPr>
        <sz val="11"/>
        <color rgb="FFFF0000"/>
        <rFont val="ＭＳ Ｐゴシック"/>
        <family val="3"/>
        <charset val="128"/>
        <scheme val="minor"/>
      </rPr>
      <t>36</t>
    </r>
    <r>
      <rPr>
        <sz val="11"/>
        <rFont val="ＭＳ Ｐゴシック"/>
        <family val="3"/>
        <charset val="128"/>
        <scheme val="minor"/>
      </rPr>
      <t>年
1月1日以前
生まれ</t>
    </r>
    <rPh sb="0" eb="2">
      <t>ショウワ</t>
    </rPh>
    <rPh sb="4" eb="5">
      <t>ネン</t>
    </rPh>
    <rPh sb="7" eb="8">
      <t>ガツ</t>
    </rPh>
    <rPh sb="9" eb="10">
      <t>ニチ</t>
    </rPh>
    <rPh sb="10" eb="12">
      <t>イゼン</t>
    </rPh>
    <rPh sb="13" eb="14">
      <t>ウ</t>
    </rPh>
    <phoneticPr fontId="1"/>
  </si>
  <si>
    <t>【令和８年度の税率等】</t>
    <phoneticPr fontId="1"/>
  </si>
  <si>
    <t>子ども・子育て</t>
    <rPh sb="0" eb="1">
      <t>コ</t>
    </rPh>
    <rPh sb="4" eb="6">
      <t>コソダ</t>
    </rPh>
    <phoneticPr fontId="1"/>
  </si>
  <si>
    <t>２人目</t>
    <rPh sb="1" eb="2">
      <t>ヒト</t>
    </rPh>
    <rPh sb="2" eb="3">
      <t>メ</t>
    </rPh>
    <phoneticPr fontId="1"/>
  </si>
  <si>
    <t>３人目</t>
    <rPh sb="1" eb="2">
      <t>ヒト</t>
    </rPh>
    <rPh sb="2" eb="3">
      <t>メ</t>
    </rPh>
    <phoneticPr fontId="1"/>
  </si>
  <si>
    <t>４人目</t>
    <rPh sb="1" eb="2">
      <t>ヒト</t>
    </rPh>
    <rPh sb="2" eb="3">
      <t>メ</t>
    </rPh>
    <phoneticPr fontId="1"/>
  </si>
  <si>
    <t>５人目</t>
    <rPh sb="1" eb="2">
      <t>ヒト</t>
    </rPh>
    <rPh sb="2" eb="3">
      <t>メ</t>
    </rPh>
    <phoneticPr fontId="1"/>
  </si>
  <si>
    <t>６人目</t>
    <rPh sb="1" eb="2">
      <t>ヒト</t>
    </rPh>
    <rPh sb="2" eb="3">
      <t>メ</t>
    </rPh>
    <phoneticPr fontId="1"/>
  </si>
  <si>
    <t>年齢</t>
    <rPh sb="0" eb="2">
      <t>ネンレイ</t>
    </rPh>
    <phoneticPr fontId="1"/>
  </si>
  <si>
    <t>子ども・子育て支援金分</t>
    <rPh sb="0" eb="1">
      <t>コ</t>
    </rPh>
    <rPh sb="4" eb="6">
      <t>コソダ</t>
    </rPh>
    <rPh sb="7" eb="11">
      <t>シエンキンブン</t>
    </rPh>
    <phoneticPr fontId="1"/>
  </si>
  <si>
    <t>令和８年４月～令和９年３月分</t>
    <phoneticPr fontId="1"/>
  </si>
  <si>
    <t>円／年</t>
    <phoneticPr fontId="1"/>
  </si>
  <si>
    <t>（賦課限度額は、</t>
    <phoneticPr fontId="1"/>
  </si>
  <si>
    <t>円/年）</t>
    <phoneticPr fontId="1"/>
  </si>
  <si>
    <t>１ヶ月あたりの目安</t>
    <phoneticPr fontId="1"/>
  </si>
  <si>
    <t>円／月</t>
    <rPh sb="2" eb="3">
      <t>ツキ</t>
    </rPh>
    <phoneticPr fontId="1"/>
  </si>
  <si>
    <t>※期別の納付金額とは異なります。</t>
    <phoneticPr fontId="1"/>
  </si>
  <si>
    <t>区分</t>
    <rPh sb="0" eb="2">
      <t>クブン</t>
    </rPh>
    <phoneticPr fontId="1"/>
  </si>
  <si>
    <t xml:space="preserve">
　　　　　※年度途中で４０歳、６５歳、７５歳になる方は、
               試算結果と異なる場合があります。</t>
    <rPh sb="23" eb="24">
      <t>サイ</t>
    </rPh>
    <rPh sb="46" eb="48">
      <t>シサン</t>
    </rPh>
    <rPh sb="48" eb="50">
      <t>ケッカ</t>
    </rPh>
    <phoneticPr fontId="1"/>
  </si>
  <si>
    <t>７割軽減</t>
    <rPh sb="1" eb="2">
      <t>ワリ</t>
    </rPh>
    <rPh sb="2" eb="4">
      <t>ケイゲン</t>
    </rPh>
    <phoneticPr fontId="1"/>
  </si>
  <si>
    <t>５割軽減</t>
    <rPh sb="1" eb="2">
      <t>ワリ</t>
    </rPh>
    <rPh sb="2" eb="4">
      <t>ケイゲン</t>
    </rPh>
    <phoneticPr fontId="1"/>
  </si>
  <si>
    <t>２割軽減</t>
    <rPh sb="1" eb="2">
      <t>ワリ</t>
    </rPh>
    <rPh sb="2" eb="4">
      <t>ケイゲン</t>
    </rPh>
    <phoneticPr fontId="1"/>
  </si>
  <si>
    <t>【所得が少ない世帯に対する軽減制度に該当した場合の国民健康保険税額（概算）】</t>
    <rPh sb="25" eb="31">
      <t>コクミンケンコウホケン</t>
    </rPh>
    <rPh sb="31" eb="33">
      <t>ゼイガク</t>
    </rPh>
    <rPh sb="34" eb="36">
      <t>ガイサン</t>
    </rPh>
    <phoneticPr fontId="1"/>
  </si>
  <si>
    <t>令和８年度　国民健康保険税額（子ども・子育て支援金分）試算結果</t>
    <rPh sb="13" eb="14">
      <t>ガク</t>
    </rPh>
    <rPh sb="15" eb="16">
      <t>コ</t>
    </rPh>
    <rPh sb="19" eb="21">
      <t>コソダ</t>
    </rPh>
    <rPh sb="22" eb="25">
      <t>シエンキン</t>
    </rPh>
    <rPh sb="25" eb="26">
      <t>ブン</t>
    </rPh>
    <phoneticPr fontId="1"/>
  </si>
  <si>
    <t>令和８年度　国民健康保険税額試算結果</t>
    <rPh sb="13" eb="14">
      <t>ガク</t>
    </rPh>
    <rPh sb="14" eb="16">
      <t>シサン</t>
    </rPh>
    <phoneticPr fontId="1"/>
  </si>
  <si>
    <t>【個人別賦課明細】</t>
    <rPh sb="1" eb="4">
      <t>コジンベツ</t>
    </rPh>
    <rPh sb="4" eb="6">
      <t>フカ</t>
    </rPh>
    <rPh sb="6" eb="8">
      <t>メイサイ</t>
    </rPh>
    <phoneticPr fontId="1"/>
  </si>
  <si>
    <t>国民健康険税額（医療・支援・介護分）【概算】</t>
    <rPh sb="0" eb="2">
      <t>コクミン</t>
    </rPh>
    <rPh sb="2" eb="4">
      <t>ケンコウ</t>
    </rPh>
    <rPh sb="4" eb="5">
      <t>ケン</t>
    </rPh>
    <rPh sb="5" eb="6">
      <t>ゼイ</t>
    </rPh>
    <rPh sb="6" eb="7">
      <t>ガク</t>
    </rPh>
    <rPh sb="19" eb="21">
      <t>ガイサン</t>
    </rPh>
    <phoneticPr fontId="1"/>
  </si>
  <si>
    <t xml:space="preserve"> 【軽減された場合（概算）】</t>
    <rPh sb="2" eb="4">
      <t>ケイゲン</t>
    </rPh>
    <rPh sb="7" eb="9">
      <t>バアイ</t>
    </rPh>
    <rPh sb="10" eb="12">
      <t>ガイサン</t>
    </rPh>
    <phoneticPr fontId="1"/>
  </si>
  <si>
    <t>【所得が少ない世帯に対する軽減制度に該当した場合（概算）】</t>
    <rPh sb="1" eb="3">
      <t>ショトク</t>
    </rPh>
    <rPh sb="4" eb="5">
      <t>スク</t>
    </rPh>
    <rPh sb="7" eb="9">
      <t>セタイ</t>
    </rPh>
    <rPh sb="10" eb="11">
      <t>タイ</t>
    </rPh>
    <rPh sb="13" eb="15">
      <t>ケイゲン</t>
    </rPh>
    <rPh sb="15" eb="17">
      <t>セイド</t>
    </rPh>
    <rPh sb="18" eb="20">
      <t>ガイトウ</t>
    </rPh>
    <rPh sb="22" eb="24">
      <t>バアイ</t>
    </rPh>
    <rPh sb="25" eb="27">
      <t>ガイサン</t>
    </rPh>
    <phoneticPr fontId="1"/>
  </si>
  <si>
    <t>※（参考）基準となる軽減基準所得金額 及び 【軽減された場合（概算）】は、国保から後期高齢者医療制度に移行した方がいないと仮定して判定しています。</t>
    <rPh sb="19" eb="20">
      <t>オヨ</t>
    </rPh>
    <phoneticPr fontId="1"/>
  </si>
  <si>
    <t>【所得が少ない世帯に対する軽減制度に該当した場合（概算）】</t>
    <rPh sb="25" eb="27">
      <t>ガイサン</t>
    </rPh>
    <phoneticPr fontId="1"/>
  </si>
  <si>
    <t>【事前にご用意ください】</t>
    <rPh sb="1" eb="3">
      <t>ジゼン</t>
    </rPh>
    <rPh sb="5" eb="7">
      <t>ヨウイ</t>
    </rPh>
    <phoneticPr fontId="1"/>
  </si>
  <si>
    <t>○</t>
    <phoneticPr fontId="1"/>
  </si>
  <si>
    <t>入力の仕方</t>
    <rPh sb="0" eb="2">
      <t>ニュウリョク</t>
    </rPh>
    <rPh sb="3" eb="5">
      <t>シカタ</t>
    </rPh>
    <phoneticPr fontId="1"/>
  </si>
  <si>
    <t>．</t>
    <phoneticPr fontId="1"/>
  </si>
  <si>
    <r>
      <t>「医療・支援・介護」シートの</t>
    </r>
    <r>
      <rPr>
        <b/>
        <sz val="12"/>
        <color theme="3" tint="0.39997558519241921"/>
        <rFont val="ＭＳ Ｐゴシック"/>
        <family val="3"/>
        <charset val="128"/>
        <scheme val="minor"/>
      </rPr>
      <t>水色セル</t>
    </r>
    <r>
      <rPr>
        <sz val="11"/>
        <color theme="1"/>
        <rFont val="ＭＳ Ｐゴシック"/>
        <family val="3"/>
        <charset val="128"/>
        <scheme val="minor"/>
      </rPr>
      <t>部分を入力する。</t>
    </r>
    <rPh sb="1" eb="3">
      <t>イリョウ</t>
    </rPh>
    <rPh sb="4" eb="6">
      <t>シエン</t>
    </rPh>
    <rPh sb="7" eb="9">
      <t>カイゴ</t>
    </rPh>
    <rPh sb="14" eb="16">
      <t>ミズイロ</t>
    </rPh>
    <rPh sb="18" eb="20">
      <t>ブブン</t>
    </rPh>
    <rPh sb="21" eb="23">
      <t>ニュウリョク</t>
    </rPh>
    <phoneticPr fontId="1"/>
  </si>
  <si>
    <r>
      <t>「子ども・子育て」シートの</t>
    </r>
    <r>
      <rPr>
        <b/>
        <sz val="12"/>
        <color theme="3" tint="0.39997558519241921"/>
        <rFont val="ＭＳ Ｐゴシック"/>
        <family val="3"/>
        <charset val="128"/>
        <scheme val="minor"/>
      </rPr>
      <t>水色セル</t>
    </r>
    <r>
      <rPr>
        <sz val="11"/>
        <color theme="1"/>
        <rFont val="ＭＳ Ｐゴシック"/>
        <family val="2"/>
        <charset val="128"/>
        <scheme val="minor"/>
      </rPr>
      <t>部分を入力する。</t>
    </r>
    <rPh sb="1" eb="2">
      <t>コ</t>
    </rPh>
    <rPh sb="5" eb="7">
      <t>コソダ</t>
    </rPh>
    <phoneticPr fontId="1"/>
  </si>
  <si>
    <t>世帯主及び国保加入者の令和７年中の所得金額が分かるもの。（確定申告書の控え、源泉徴収票等）</t>
    <rPh sb="0" eb="3">
      <t>セタイヌシ</t>
    </rPh>
    <rPh sb="3" eb="4">
      <t>オヨ</t>
    </rPh>
    <rPh sb="5" eb="7">
      <t>コクホ</t>
    </rPh>
    <rPh sb="7" eb="10">
      <t>カニュウシャ</t>
    </rPh>
    <rPh sb="11" eb="13">
      <t>レイワ</t>
    </rPh>
    <rPh sb="14" eb="16">
      <t>ネンチュウ</t>
    </rPh>
    <rPh sb="17" eb="21">
      <t>ショトクキンガク</t>
    </rPh>
    <rPh sb="22" eb="23">
      <t>ワ</t>
    </rPh>
    <rPh sb="29" eb="31">
      <t>カクテイ</t>
    </rPh>
    <rPh sb="31" eb="34">
      <t>シンコクショ</t>
    </rPh>
    <rPh sb="35" eb="36">
      <t>ヒカ</t>
    </rPh>
    <rPh sb="38" eb="43">
      <t>ゲンセンチョウシュウヒョウ</t>
    </rPh>
    <rPh sb="43" eb="44">
      <t>トウ</t>
    </rPh>
    <phoneticPr fontId="1"/>
  </si>
  <si>
    <r>
      <rPr>
        <b/>
        <sz val="11"/>
        <color theme="1"/>
        <rFont val="ＭＳ Ｐゴシック"/>
        <family val="3"/>
        <charset val="128"/>
        <scheme val="minor"/>
      </rPr>
      <t>「試算結果（合計）」</t>
    </r>
    <r>
      <rPr>
        <sz val="11"/>
        <color theme="1"/>
        <rFont val="ＭＳ Ｐゴシック"/>
        <family val="2"/>
        <charset val="128"/>
        <scheme val="minor"/>
      </rPr>
      <t>シートに表示された金額が令和８年度国民健康保険税額試算結果（概算）となります。</t>
    </r>
    <rPh sb="1" eb="3">
      <t>シサン</t>
    </rPh>
    <rPh sb="3" eb="5">
      <t>ケッカ</t>
    </rPh>
    <rPh sb="6" eb="8">
      <t>ゴウケイ</t>
    </rPh>
    <rPh sb="14" eb="16">
      <t>ヒョウジ</t>
    </rPh>
    <rPh sb="19" eb="21">
      <t>キンガク</t>
    </rPh>
    <rPh sb="22" eb="24">
      <t>レイワ</t>
    </rPh>
    <rPh sb="25" eb="27">
      <t>ネンド</t>
    </rPh>
    <rPh sb="27" eb="33">
      <t>コクミンケンコウホケン</t>
    </rPh>
    <rPh sb="33" eb="35">
      <t>ゼイガク</t>
    </rPh>
    <rPh sb="35" eb="39">
      <t>シサンケッカ</t>
    </rPh>
    <rPh sb="40" eb="42">
      <t>ガイサン</t>
    </rPh>
    <phoneticPr fontId="1"/>
  </si>
  <si>
    <t>※</t>
    <phoneticPr fontId="1"/>
  </si>
  <si>
    <t>①</t>
    <phoneticPr fontId="1"/>
  </si>
  <si>
    <t>②</t>
    <phoneticPr fontId="1"/>
  </si>
  <si>
    <t>もう一度、やりなおす場合</t>
    <rPh sb="2" eb="4">
      <t>イチド</t>
    </rPh>
    <rPh sb="10" eb="12">
      <t>バアイ</t>
    </rPh>
    <phoneticPr fontId="1"/>
  </si>
  <si>
    <r>
      <rPr>
        <b/>
        <sz val="11"/>
        <color theme="1"/>
        <rFont val="ＭＳ Ｐゴシック"/>
        <family val="3"/>
        <charset val="128"/>
        <scheme val="minor"/>
      </rPr>
      <t>「試算結果（合計）」</t>
    </r>
    <r>
      <rPr>
        <sz val="11"/>
        <color theme="1"/>
        <rFont val="ＭＳ Ｐゴシック"/>
        <family val="2"/>
        <charset val="128"/>
        <scheme val="minor"/>
      </rPr>
      <t>シートに表示された金額がすべて「</t>
    </r>
    <r>
      <rPr>
        <b/>
        <sz val="11"/>
        <color theme="1"/>
        <rFont val="ＭＳ Ｐゴシック"/>
        <family val="3"/>
        <charset val="128"/>
        <scheme val="minor"/>
      </rPr>
      <t>０</t>
    </r>
    <r>
      <rPr>
        <sz val="11"/>
        <color theme="1"/>
        <rFont val="ＭＳ Ｐゴシック"/>
        <family val="2"/>
        <charset val="128"/>
        <scheme val="minor"/>
      </rPr>
      <t>」になっていることを確認する。</t>
    </r>
    <rPh sb="37" eb="39">
      <t>カクニン</t>
    </rPh>
    <phoneticPr fontId="1"/>
  </si>
  <si>
    <t>※１８歳に達する日以後の最初の３月３１日以前である場合は「18歳未満」としてください。</t>
    <rPh sb="3" eb="4">
      <t>サイ</t>
    </rPh>
    <rPh sb="5" eb="6">
      <t>タッ</t>
    </rPh>
    <rPh sb="8" eb="9">
      <t>ヒ</t>
    </rPh>
    <rPh sb="9" eb="11">
      <t>イゴ</t>
    </rPh>
    <rPh sb="12" eb="14">
      <t>サイショ</t>
    </rPh>
    <rPh sb="16" eb="17">
      <t>ガツ</t>
    </rPh>
    <rPh sb="19" eb="20">
      <t>ニチ</t>
    </rPh>
    <rPh sb="20" eb="22">
      <t>イゼン</t>
    </rPh>
    <rPh sb="25" eb="27">
      <t>バアイ</t>
    </rPh>
    <rPh sb="31" eb="32">
      <t>サイ</t>
    </rPh>
    <rPh sb="32" eb="34">
      <t>ミマン</t>
    </rPh>
    <phoneticPr fontId="1"/>
  </si>
  <si>
    <t>※　１８歳に達する日以後の最初の３月３１日以前である場合は「18歳未満」としてください。</t>
    <phoneticPr fontId="1"/>
  </si>
  <si>
    <t>軽減判定用
【55万円】</t>
    <rPh sb="0" eb="5">
      <t>ケイゲンハンテイヨウ</t>
    </rPh>
    <rPh sb="9" eb="10">
      <t>マン</t>
    </rPh>
    <rPh sb="10" eb="11">
      <t>エン</t>
    </rPh>
    <phoneticPr fontId="1"/>
  </si>
  <si>
    <t>軽減判定用</t>
    <rPh sb="0" eb="5">
      <t>ケイゲンハンテイヨウ</t>
    </rPh>
    <phoneticPr fontId="1"/>
  </si>
  <si>
    <t>令和８年度　国民健康保険税額（医療・支援・介護分）試算結果</t>
    <rPh sb="0" eb="2">
      <t>レイワ</t>
    </rPh>
    <rPh sb="3" eb="5">
      <t>ネンド</t>
    </rPh>
    <rPh sb="6" eb="13">
      <t>コクミンケンコウホケンゼイ</t>
    </rPh>
    <rPh sb="13" eb="14">
      <t>ガク</t>
    </rPh>
    <rPh sb="15" eb="17">
      <t>イリョウ</t>
    </rPh>
    <rPh sb="18" eb="20">
      <t>シエン</t>
    </rPh>
    <rPh sb="21" eb="23">
      <t>カイゴ</t>
    </rPh>
    <rPh sb="23" eb="24">
      <t>ブン</t>
    </rPh>
    <rPh sb="25" eb="27">
      <t>シサン</t>
    </rPh>
    <rPh sb="27" eb="29">
      <t>ケッカ</t>
    </rPh>
    <phoneticPr fontId="1"/>
  </si>
  <si>
    <t>【世帯主及び国保加入者の所得状況等（令和７年中）】</t>
    <rPh sb="12" eb="14">
      <t>ショトク</t>
    </rPh>
    <rPh sb="18" eb="20">
      <t>レイワ</t>
    </rPh>
    <rPh sb="21" eb="22">
      <t>ネン</t>
    </rPh>
    <rPh sb="22" eb="23">
      <t>チュウ</t>
    </rPh>
    <phoneticPr fontId="1"/>
  </si>
  <si>
    <r>
      <t xml:space="preserve">生年月日が
</t>
    </r>
    <r>
      <rPr>
        <sz val="8"/>
        <color rgb="FFFF0000"/>
        <rFont val="ＭＳ Ｐゴシック"/>
        <family val="3"/>
        <charset val="128"/>
        <scheme val="minor"/>
      </rPr>
      <t>S36.1.2以降</t>
    </r>
    <rPh sb="0" eb="2">
      <t>セイネン</t>
    </rPh>
    <rPh sb="2" eb="4">
      <t>ガッピ</t>
    </rPh>
    <rPh sb="13" eb="15">
      <t>イコウ</t>
    </rPh>
    <phoneticPr fontId="1"/>
  </si>
  <si>
    <r>
      <t xml:space="preserve">生年月日が
</t>
    </r>
    <r>
      <rPr>
        <sz val="8"/>
        <color rgb="FFFF0000"/>
        <rFont val="ＭＳ Ｐゴシック"/>
        <family val="3"/>
        <charset val="128"/>
        <scheme val="minor"/>
      </rPr>
      <t>S36.1.1以前</t>
    </r>
    <rPh sb="0" eb="4">
      <t>セイネンガッピ</t>
    </rPh>
    <rPh sb="13" eb="15">
      <t>イゼン</t>
    </rPh>
    <phoneticPr fontId="1"/>
  </si>
  <si>
    <t>　　　43万円＋（給与所得者等の数-1）×10万円 ＋ （被保険者数×31万円）</t>
    <phoneticPr fontId="1"/>
  </si>
  <si>
    <t>　　　43万円＋（給与所得者等の数-1）×10万円 ＋ （被保険者数×57万円）</t>
    <rPh sb="37" eb="38">
      <t>マン</t>
    </rPh>
    <phoneticPr fontId="1"/>
  </si>
  <si>
    <t>　□　試算には、令和７年中の所得金額のわかるもの（確定申告書の控え、源泉徴収票等）が必要です。</t>
    <phoneticPr fontId="1"/>
  </si>
  <si>
    <t>　□　【世帯主及び国保加入者の所得状況等（令和７年中）】の水色セルに必要事項等を入力してください。</t>
    <rPh sb="21" eb="23">
      <t>レイワ</t>
    </rPh>
    <rPh sb="24" eb="25">
      <t>ネン</t>
    </rPh>
    <rPh sb="25" eb="26">
      <t>チュウ</t>
    </rPh>
    <phoneticPr fontId="1"/>
  </si>
  <si>
    <r>
      <t>「医療・支援・介護」シートの</t>
    </r>
    <r>
      <rPr>
        <b/>
        <sz val="12"/>
        <color theme="3" tint="0.39997558519241921"/>
        <rFont val="ＭＳ Ｐゴシック"/>
        <family val="3"/>
        <charset val="128"/>
        <scheme val="minor"/>
      </rPr>
      <t>水色セル</t>
    </r>
    <r>
      <rPr>
        <sz val="11"/>
        <color theme="1"/>
        <rFont val="ＭＳ Ｐゴシック"/>
        <family val="3"/>
        <charset val="128"/>
        <scheme val="minor"/>
      </rPr>
      <t>部分を削除する。</t>
    </r>
    <rPh sb="1" eb="3">
      <t>イリョウ</t>
    </rPh>
    <rPh sb="4" eb="6">
      <t>シエン</t>
    </rPh>
    <rPh sb="7" eb="9">
      <t>カイゴ</t>
    </rPh>
    <rPh sb="14" eb="16">
      <t>ミズイロ</t>
    </rPh>
    <rPh sb="18" eb="20">
      <t>ブブン</t>
    </rPh>
    <rPh sb="21" eb="23">
      <t>サクジョ</t>
    </rPh>
    <phoneticPr fontId="1"/>
  </si>
  <si>
    <r>
      <t>「子ども・子育て」シートの</t>
    </r>
    <r>
      <rPr>
        <b/>
        <sz val="12"/>
        <color theme="3" tint="0.39997558519241921"/>
        <rFont val="ＭＳ Ｐゴシック"/>
        <family val="3"/>
        <charset val="128"/>
        <scheme val="minor"/>
      </rPr>
      <t>水色セル</t>
    </r>
    <r>
      <rPr>
        <sz val="11"/>
        <color theme="1"/>
        <rFont val="ＭＳ Ｐゴシック"/>
        <family val="2"/>
        <charset val="128"/>
        <scheme val="minor"/>
      </rPr>
      <t>部分を削除する。</t>
    </r>
    <rPh sb="1" eb="2">
      <t>コ</t>
    </rPh>
    <rPh sb="5" eb="7">
      <t>コソダ</t>
    </rPh>
    <rPh sb="20" eb="22">
      <t>サクジョ</t>
    </rPh>
    <phoneticPr fontId="1"/>
  </si>
  <si>
    <t>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</si>
</sst>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人&quot;"/>
    <numFmt numFmtId="177" formatCode="[$-411]ggge&quot;年&quot;m&quot;月&quot;d&quot;日&quot;;@"/>
  </numFmts>
  <fonts count="4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name val="ＭＳ Ｐゴシック"/>
      <family val="3"/>
      <charset val="128"/>
      <scheme val="minor"/>
    </font>
    <font>
      <sz val="12"/>
      <name val="ＭＳ Ｐゴシック"/>
      <family val="3"/>
      <charset val="128"/>
      <scheme val="minor"/>
    </font>
    <font>
      <sz val="8"/>
      <name val="ＭＳ Ｐゴシック"/>
      <family val="3"/>
      <charset val="128"/>
      <scheme val="minor"/>
    </font>
    <font>
      <b/>
      <sz val="12"/>
      <name val="ＭＳ Ｐゴシック"/>
      <family val="3"/>
      <charset val="128"/>
      <scheme val="minor"/>
    </font>
    <font>
      <sz val="12"/>
      <name val="ＭＳ ゴシック"/>
      <family val="3"/>
      <charset val="128"/>
    </font>
    <font>
      <b/>
      <sz val="16"/>
      <name val="ＭＳ ゴシック"/>
      <family val="3"/>
      <charset val="128"/>
    </font>
    <font>
      <b/>
      <sz val="16"/>
      <name val="ＭＳ Ｐゴシック"/>
      <family val="3"/>
      <charset val="128"/>
    </font>
    <font>
      <sz val="10"/>
      <name val="ＭＳ Ｐゴシック"/>
      <family val="3"/>
      <charset val="128"/>
    </font>
    <font>
      <sz val="9"/>
      <name val="ＭＳ Ｐゴシック"/>
      <family val="3"/>
      <charset val="128"/>
      <scheme val="minor"/>
    </font>
    <font>
      <b/>
      <sz val="10"/>
      <name val="ＭＳ Ｐゴシック"/>
      <family val="3"/>
      <charset val="128"/>
      <scheme val="minor"/>
    </font>
    <font>
      <sz val="16"/>
      <name val="ＭＳ Ｐゴシック"/>
      <family val="3"/>
      <charset val="128"/>
      <scheme val="minor"/>
    </font>
    <font>
      <b/>
      <sz val="12"/>
      <color rgb="FF000000"/>
      <name val="ＭＳ Ｐゴシック"/>
      <family val="3"/>
      <charset val="128"/>
    </font>
    <font>
      <sz val="26"/>
      <name val="ＭＳ Ｐゴシック"/>
      <family val="3"/>
      <charset val="128"/>
      <scheme val="minor"/>
    </font>
    <font>
      <b/>
      <sz val="16"/>
      <color rgb="FFFF1E0D"/>
      <name val="ＭＳ Ｐゴシック"/>
      <family val="3"/>
      <charset val="128"/>
      <scheme val="minor"/>
    </font>
    <font>
      <sz val="11"/>
      <name val="ＭＳ Ｐゴシック"/>
      <family val="3"/>
      <charset val="128"/>
      <scheme val="minor"/>
    </font>
    <font>
      <sz val="11"/>
      <name val="ＭＳ Ｐゴシック"/>
      <family val="3"/>
      <charset val="128"/>
    </font>
    <font>
      <b/>
      <sz val="20"/>
      <name val="ＭＳ Ｐゴシック"/>
      <family val="3"/>
      <charset val="128"/>
      <scheme val="minor"/>
    </font>
    <font>
      <u/>
      <sz val="10"/>
      <name val="ＭＳ Ｐゴシック"/>
      <family val="3"/>
      <charset val="128"/>
      <scheme val="minor"/>
    </font>
    <font>
      <sz val="8"/>
      <color rgb="FFFF0000"/>
      <name val="ＭＳ Ｐゴシック"/>
      <family val="3"/>
      <charset val="128"/>
      <scheme val="minor"/>
    </font>
    <font>
      <sz val="12"/>
      <color rgb="FFFF0000"/>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b/>
      <sz val="16"/>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b/>
      <sz val="12"/>
      <color theme="3" tint="0.39997558519241921"/>
      <name val="ＭＳ Ｐゴシック"/>
      <family val="3"/>
      <charset val="128"/>
      <scheme val="minor"/>
    </font>
    <font>
      <sz val="12"/>
      <color theme="1"/>
      <name val="ＭＳ Ｐゴシック"/>
      <family val="3"/>
      <charset val="128"/>
      <scheme val="minor"/>
    </font>
    <font>
      <b/>
      <sz val="16"/>
      <color theme="1"/>
      <name val="ＭＳ ゴシック"/>
      <family val="3"/>
      <charset val="128"/>
    </font>
    <font>
      <b/>
      <sz val="16"/>
      <color theme="1"/>
      <name val="ＭＳ Ｐゴシック"/>
      <family val="3"/>
      <charset val="128"/>
    </font>
    <font>
      <sz val="12"/>
      <color theme="1"/>
      <name val="ＭＳ ゴシック"/>
      <family val="3"/>
      <charset val="128"/>
    </font>
    <font>
      <sz val="10"/>
      <color theme="1"/>
      <name val="ＭＳ Ｐゴシック"/>
      <family val="3"/>
      <charset val="128"/>
      <scheme val="minor"/>
    </font>
    <font>
      <sz val="16"/>
      <color theme="1"/>
      <name val="ＭＳ Ｐゴシック"/>
      <family val="3"/>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rgb="FFFFFF66"/>
        <bgColor indexed="64"/>
      </patternFill>
    </fill>
    <fill>
      <patternFill patternType="solid">
        <fgColor rgb="FFFFC00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FF66FF"/>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uble">
        <color indexed="64"/>
      </right>
      <top style="thin">
        <color indexed="64"/>
      </top>
      <bottom/>
      <diagonal/>
    </border>
    <border>
      <left/>
      <right/>
      <top style="medium">
        <color indexed="64"/>
      </top>
      <bottom/>
      <diagonal/>
    </border>
    <border>
      <left/>
      <right/>
      <top/>
      <bottom style="medium">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95">
    <xf numFmtId="0" fontId="0" fillId="0" borderId="0" xfId="0">
      <alignment vertical="center"/>
    </xf>
    <xf numFmtId="0" fontId="3" fillId="2" borderId="14"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3" fillId="0" borderId="0" xfId="0" applyFont="1" applyAlignment="1" applyProtection="1">
      <alignment vertical="center" shrinkToFit="1"/>
    </xf>
    <xf numFmtId="38" fontId="17" fillId="0" borderId="1" xfId="1" applyFont="1" applyFill="1" applyBorder="1" applyAlignment="1" applyProtection="1">
      <alignment horizontal="center" vertical="center" shrinkToFit="1"/>
    </xf>
    <xf numFmtId="0" fontId="3" fillId="0" borderId="1" xfId="0" applyFont="1" applyBorder="1" applyAlignment="1" applyProtection="1">
      <alignment vertical="center" shrinkToFit="1"/>
    </xf>
    <xf numFmtId="0" fontId="13" fillId="0" borderId="0" xfId="0" applyFont="1" applyAlignment="1" applyProtection="1">
      <alignment vertical="center" shrinkToFit="1"/>
    </xf>
    <xf numFmtId="0" fontId="15" fillId="0" borderId="0" xfId="0" applyFont="1" applyAlignment="1" applyProtection="1">
      <alignment vertical="center" shrinkToFit="1"/>
    </xf>
    <xf numFmtId="0" fontId="17" fillId="0" borderId="0" xfId="0" applyFont="1" applyBorder="1" applyAlignment="1" applyProtection="1">
      <alignment vertical="center" shrinkToFit="1"/>
    </xf>
    <xf numFmtId="0" fontId="3" fillId="0" borderId="0" xfId="0" applyFont="1" applyBorder="1" applyAlignment="1" applyProtection="1">
      <alignment vertical="center" shrinkToFit="1"/>
    </xf>
    <xf numFmtId="0" fontId="10" fillId="0" borderId="0" xfId="0" applyFont="1" applyAlignment="1" applyProtection="1">
      <alignment vertical="center" shrinkToFit="1"/>
    </xf>
    <xf numFmtId="0" fontId="9" fillId="0" borderId="0" xfId="0" applyFont="1" applyAlignment="1" applyProtection="1">
      <alignment horizontal="center" vertical="center" wrapText="1" shrinkToFit="1"/>
    </xf>
    <xf numFmtId="0" fontId="18" fillId="0" borderId="0" xfId="0" applyFont="1" applyBorder="1" applyAlignment="1" applyProtection="1">
      <alignment vertical="center" shrinkToFit="1"/>
    </xf>
    <xf numFmtId="0" fontId="3" fillId="0" borderId="0" xfId="0" applyFont="1" applyAlignment="1" applyProtection="1">
      <alignment horizontal="center" vertical="center" shrinkToFit="1"/>
    </xf>
    <xf numFmtId="0" fontId="3" fillId="3" borderId="1" xfId="0" applyFont="1" applyFill="1" applyBorder="1" applyAlignment="1" applyProtection="1">
      <alignment horizontal="center" vertical="center" shrinkToFit="1"/>
    </xf>
    <xf numFmtId="38" fontId="3" fillId="6" borderId="1" xfId="1" applyFont="1" applyFill="1" applyBorder="1" applyAlignment="1" applyProtection="1">
      <alignment vertical="center" shrinkToFit="1"/>
    </xf>
    <xf numFmtId="0" fontId="3" fillId="0" borderId="0" xfId="0" applyFont="1" applyBorder="1" applyAlignment="1" applyProtection="1">
      <alignment horizontal="right" shrinkToFit="1"/>
    </xf>
    <xf numFmtId="0" fontId="3" fillId="0" borderId="0" xfId="0" applyFont="1" applyBorder="1" applyAlignment="1" applyProtection="1">
      <alignment horizontal="right" vertical="center" shrinkToFit="1"/>
    </xf>
    <xf numFmtId="0" fontId="3" fillId="0" borderId="0" xfId="0" applyFont="1" applyAlignment="1" applyProtection="1">
      <alignment horizontal="right" vertical="center" shrinkToFit="1"/>
    </xf>
    <xf numFmtId="0" fontId="3" fillId="0" borderId="0" xfId="0" applyFont="1" applyFill="1" applyAlignment="1" applyProtection="1">
      <alignment horizontal="right" vertical="center" shrinkToFit="1"/>
    </xf>
    <xf numFmtId="14" fontId="3" fillId="0" borderId="0" xfId="0" applyNumberFormat="1" applyFont="1" applyFill="1" applyAlignment="1" applyProtection="1">
      <alignment horizontal="right" vertical="center" shrinkToFit="1"/>
    </xf>
    <xf numFmtId="0" fontId="3" fillId="0" borderId="0" xfId="0" applyFont="1" applyFill="1" applyAlignment="1" applyProtection="1">
      <alignment horizontal="center" vertical="center" shrinkToFit="1"/>
    </xf>
    <xf numFmtId="38" fontId="3" fillId="0" borderId="0" xfId="1" applyFont="1" applyFill="1" applyAlignment="1" applyProtection="1">
      <alignment horizontal="right" vertical="center" shrinkToFit="1"/>
    </xf>
    <xf numFmtId="0" fontId="3" fillId="0" borderId="0" xfId="0" applyFont="1" applyFill="1" applyAlignment="1" applyProtection="1">
      <alignment vertical="center" shrinkToFit="1"/>
    </xf>
    <xf numFmtId="0" fontId="3" fillId="3" borderId="3" xfId="0" applyFont="1" applyFill="1" applyBorder="1" applyAlignment="1" applyProtection="1">
      <alignment horizontal="center" vertical="center" wrapText="1" shrinkToFit="1"/>
    </xf>
    <xf numFmtId="0" fontId="12" fillId="3" borderId="9" xfId="0" applyFont="1" applyFill="1" applyBorder="1" applyAlignment="1" applyProtection="1">
      <alignment horizontal="center" vertical="center" shrinkToFit="1"/>
    </xf>
    <xf numFmtId="0" fontId="12" fillId="3" borderId="17" xfId="0" applyFont="1" applyFill="1" applyBorder="1" applyAlignment="1" applyProtection="1">
      <alignment horizontal="center" vertical="center" shrinkToFit="1"/>
    </xf>
    <xf numFmtId="0" fontId="12" fillId="3" borderId="8" xfId="0" applyFont="1" applyFill="1" applyBorder="1" applyAlignment="1" applyProtection="1">
      <alignment horizontal="center" vertical="center" shrinkToFit="1"/>
    </xf>
    <xf numFmtId="0" fontId="3" fillId="0" borderId="0" xfId="0" applyFont="1" applyFill="1" applyBorder="1" applyAlignment="1" applyProtection="1">
      <alignment vertical="center" shrinkToFit="1"/>
    </xf>
    <xf numFmtId="0" fontId="3" fillId="0" borderId="0" xfId="0" applyFont="1" applyFill="1" applyBorder="1" applyAlignment="1" applyProtection="1">
      <alignment horizontal="center" vertical="center" shrinkToFit="1"/>
    </xf>
    <xf numFmtId="38" fontId="3" fillId="0" borderId="0" xfId="1" applyFont="1" applyFill="1" applyBorder="1" applyAlignment="1" applyProtection="1">
      <alignment vertical="center" shrinkToFit="1"/>
    </xf>
    <xf numFmtId="0" fontId="3" fillId="3" borderId="9" xfId="0" applyFont="1" applyFill="1" applyBorder="1" applyAlignment="1" applyProtection="1">
      <alignment horizontal="center" vertical="center" shrinkToFit="1"/>
    </xf>
    <xf numFmtId="38" fontId="3" fillId="2" borderId="9" xfId="1" applyFont="1" applyFill="1" applyBorder="1" applyAlignment="1" applyProtection="1">
      <alignment vertical="center" shrinkToFit="1"/>
      <protection locked="0"/>
    </xf>
    <xf numFmtId="38" fontId="3" fillId="2" borderId="6" xfId="1" applyFont="1" applyFill="1" applyBorder="1" applyAlignment="1" applyProtection="1">
      <alignment vertical="center" shrinkToFit="1"/>
      <protection locked="0"/>
    </xf>
    <xf numFmtId="38" fontId="3" fillId="5" borderId="9" xfId="1" applyFont="1" applyFill="1" applyBorder="1" applyAlignment="1" applyProtection="1">
      <alignment vertical="center" shrinkToFit="1"/>
      <protection locked="0"/>
    </xf>
    <xf numFmtId="38" fontId="3" fillId="2" borderId="18" xfId="1" applyFont="1" applyFill="1" applyBorder="1" applyAlignment="1" applyProtection="1">
      <alignment vertical="center" shrinkToFit="1"/>
      <protection locked="0"/>
    </xf>
    <xf numFmtId="38" fontId="3" fillId="2" borderId="20" xfId="1" applyFont="1" applyFill="1" applyBorder="1" applyAlignment="1" applyProtection="1">
      <alignment vertical="center" shrinkToFit="1"/>
      <protection locked="0"/>
    </xf>
    <xf numFmtId="38" fontId="3" fillId="0" borderId="3" xfId="1" applyFont="1" applyFill="1" applyBorder="1" applyAlignment="1" applyProtection="1">
      <alignment vertical="center" shrinkToFit="1"/>
    </xf>
    <xf numFmtId="38" fontId="3" fillId="0" borderId="1" xfId="1" applyFont="1" applyFill="1" applyBorder="1" applyAlignment="1" applyProtection="1">
      <alignment vertical="center" shrinkToFit="1"/>
    </xf>
    <xf numFmtId="0" fontId="17" fillId="0" borderId="1" xfId="0" applyFont="1" applyFill="1" applyBorder="1" applyAlignment="1" applyProtection="1">
      <alignment horizontal="right" vertical="center" shrinkToFit="1"/>
    </xf>
    <xf numFmtId="0" fontId="3" fillId="0" borderId="45" xfId="0" applyFont="1" applyFill="1" applyBorder="1" applyAlignment="1" applyProtection="1">
      <alignment horizontal="center" vertical="center" shrinkToFit="1"/>
    </xf>
    <xf numFmtId="38" fontId="3" fillId="2" borderId="1" xfId="1" applyFont="1" applyFill="1" applyBorder="1" applyAlignment="1" applyProtection="1">
      <alignment vertical="center" shrinkToFit="1"/>
      <protection locked="0"/>
    </xf>
    <xf numFmtId="38" fontId="3" fillId="5" borderId="16" xfId="1" applyFont="1" applyFill="1" applyBorder="1" applyAlignment="1" applyProtection="1">
      <alignment vertical="center" shrinkToFit="1"/>
      <protection locked="0"/>
    </xf>
    <xf numFmtId="38" fontId="3" fillId="2" borderId="15" xfId="1" applyFont="1" applyFill="1" applyBorder="1" applyAlignment="1" applyProtection="1">
      <alignment vertical="center" shrinkToFit="1"/>
      <protection locked="0"/>
    </xf>
    <xf numFmtId="38" fontId="3" fillId="2" borderId="51" xfId="1" applyFont="1" applyFill="1" applyBorder="1" applyAlignment="1" applyProtection="1">
      <alignment vertical="center" shrinkToFit="1"/>
      <protection locked="0"/>
    </xf>
    <xf numFmtId="38" fontId="17" fillId="0" borderId="1" xfId="1" applyFont="1" applyFill="1" applyBorder="1" applyAlignment="1" applyProtection="1">
      <alignment vertical="center" shrinkToFit="1"/>
    </xf>
    <xf numFmtId="0" fontId="17" fillId="0" borderId="1" xfId="0" applyFont="1" applyFill="1" applyBorder="1" applyAlignment="1" applyProtection="1">
      <alignment vertical="center" shrinkToFit="1"/>
    </xf>
    <xf numFmtId="38" fontId="3" fillId="0" borderId="1" xfId="1" applyFont="1" applyBorder="1" applyAlignment="1" applyProtection="1">
      <alignment vertical="center" shrinkToFit="1"/>
    </xf>
    <xf numFmtId="38" fontId="3" fillId="5" borderId="1" xfId="1" applyFont="1" applyFill="1" applyBorder="1" applyAlignment="1" applyProtection="1">
      <alignment vertical="center" shrinkToFit="1"/>
      <protection locked="0"/>
    </xf>
    <xf numFmtId="176" fontId="3" fillId="0" borderId="0" xfId="0" applyNumberFormat="1" applyFont="1" applyBorder="1" applyAlignment="1" applyProtection="1">
      <alignment vertical="center" shrinkToFit="1"/>
    </xf>
    <xf numFmtId="176" fontId="3" fillId="0" borderId="0" xfId="0" applyNumberFormat="1" applyFont="1" applyBorder="1" applyAlignment="1" applyProtection="1">
      <alignment horizontal="right" vertical="center" shrinkToFit="1"/>
    </xf>
    <xf numFmtId="38" fontId="3" fillId="0" borderId="47" xfId="1" applyFont="1" applyBorder="1" applyAlignment="1" applyProtection="1">
      <alignment vertical="center" shrinkToFit="1"/>
    </xf>
    <xf numFmtId="38" fontId="3" fillId="0" borderId="46" xfId="1" applyFont="1" applyBorder="1" applyAlignment="1" applyProtection="1">
      <alignment vertical="center" shrinkToFit="1"/>
    </xf>
    <xf numFmtId="38" fontId="3" fillId="0" borderId="0" xfId="1" applyFont="1" applyBorder="1" applyAlignment="1" applyProtection="1">
      <alignment vertical="center" shrinkToFit="1"/>
    </xf>
    <xf numFmtId="0" fontId="3" fillId="0" borderId="0" xfId="0" applyFont="1" applyBorder="1" applyAlignment="1" applyProtection="1">
      <alignment horizontal="left" vertical="center" shrinkToFit="1"/>
    </xf>
    <xf numFmtId="0" fontId="3" fillId="0" borderId="0" xfId="0" applyFont="1" applyBorder="1" applyAlignment="1" applyProtection="1">
      <alignment horizontal="center" vertical="center" shrinkToFit="1"/>
    </xf>
    <xf numFmtId="38" fontId="3" fillId="0" borderId="0" xfId="1" applyFont="1" applyAlignment="1" applyProtection="1">
      <alignment vertical="center" shrinkToFit="1"/>
    </xf>
    <xf numFmtId="0" fontId="3" fillId="0" borderId="40" xfId="0" applyFont="1" applyBorder="1" applyAlignment="1" applyProtection="1">
      <alignment vertical="center" shrinkToFit="1"/>
    </xf>
    <xf numFmtId="0" fontId="3" fillId="0" borderId="40" xfId="0" applyFont="1" applyFill="1" applyBorder="1" applyAlignment="1" applyProtection="1">
      <alignment vertical="center" shrinkToFit="1"/>
    </xf>
    <xf numFmtId="0" fontId="20" fillId="0" borderId="0" xfId="0" applyFont="1" applyBorder="1" applyAlignment="1" applyProtection="1">
      <alignment vertical="center" shrinkToFit="1"/>
    </xf>
    <xf numFmtId="0" fontId="3" fillId="0" borderId="41" xfId="0" applyFont="1" applyBorder="1" applyAlignment="1" applyProtection="1">
      <alignment vertical="center" shrinkToFit="1"/>
    </xf>
    <xf numFmtId="0" fontId="3" fillId="0" borderId="42" xfId="0" applyFont="1" applyBorder="1" applyAlignment="1" applyProtection="1">
      <alignment vertical="center" shrinkToFit="1"/>
    </xf>
    <xf numFmtId="0" fontId="3" fillId="0" borderId="43" xfId="0" applyFont="1" applyBorder="1" applyAlignment="1" applyProtection="1">
      <alignment vertical="center" shrinkToFit="1"/>
    </xf>
    <xf numFmtId="0" fontId="3" fillId="0" borderId="11" xfId="0" applyFont="1" applyFill="1" applyBorder="1" applyAlignment="1" applyProtection="1">
      <alignment vertical="center" shrinkToFit="1"/>
    </xf>
    <xf numFmtId="0" fontId="3" fillId="0" borderId="10" xfId="0" applyFont="1" applyFill="1" applyBorder="1" applyAlignment="1" applyProtection="1">
      <alignment vertical="center" shrinkToFit="1"/>
    </xf>
    <xf numFmtId="0" fontId="3" fillId="0" borderId="12" xfId="0" applyFont="1" applyFill="1" applyBorder="1" applyAlignment="1" applyProtection="1">
      <alignment vertical="center" shrinkToFit="1"/>
    </xf>
    <xf numFmtId="0" fontId="3" fillId="0" borderId="5" xfId="0" applyFont="1" applyFill="1" applyBorder="1" applyAlignment="1" applyProtection="1">
      <alignment vertical="center" shrinkToFit="1"/>
    </xf>
    <xf numFmtId="0" fontId="3" fillId="0" borderId="2" xfId="0" applyFont="1" applyFill="1" applyBorder="1" applyAlignment="1" applyProtection="1">
      <alignment vertical="center" shrinkToFit="1"/>
    </xf>
    <xf numFmtId="0" fontId="3" fillId="0" borderId="5" xfId="0" applyFont="1" applyBorder="1" applyAlignment="1" applyProtection="1">
      <alignment vertical="center" shrinkToFit="1"/>
    </xf>
    <xf numFmtId="0" fontId="3" fillId="0" borderId="0" xfId="0" applyFont="1" applyBorder="1" applyAlignment="1" applyProtection="1">
      <alignment vertical="center" wrapText="1" shrinkToFit="1"/>
    </xf>
    <xf numFmtId="0" fontId="3" fillId="0" borderId="2" xfId="0" applyFont="1" applyBorder="1" applyAlignment="1" applyProtection="1">
      <alignment vertical="center" shrinkToFit="1"/>
    </xf>
    <xf numFmtId="0" fontId="3" fillId="0" borderId="1" xfId="0" applyFont="1" applyBorder="1" applyAlignment="1" applyProtection="1">
      <alignment horizontal="center" vertical="center" shrinkToFit="1"/>
    </xf>
    <xf numFmtId="0" fontId="3" fillId="0" borderId="6" xfId="0" applyFont="1" applyBorder="1" applyAlignment="1" applyProtection="1">
      <alignment vertical="center" shrinkToFit="1"/>
    </xf>
    <xf numFmtId="0" fontId="3" fillId="0" borderId="8" xfId="0" applyFont="1" applyBorder="1" applyAlignment="1" applyProtection="1">
      <alignment vertical="center" shrinkToFit="1"/>
    </xf>
    <xf numFmtId="38" fontId="3" fillId="0" borderId="17" xfId="1" applyFont="1" applyFill="1" applyBorder="1" applyAlignment="1" applyProtection="1">
      <alignment vertical="center" shrinkToFit="1"/>
    </xf>
    <xf numFmtId="38" fontId="3" fillId="0" borderId="15" xfId="1" applyFont="1" applyFill="1" applyBorder="1" applyAlignment="1" applyProtection="1">
      <alignment vertical="center" shrinkToFit="1"/>
    </xf>
    <xf numFmtId="38" fontId="3" fillId="0" borderId="57" xfId="1" applyFont="1" applyFill="1" applyBorder="1" applyAlignment="1" applyProtection="1">
      <alignment vertical="center" shrinkToFit="1"/>
    </xf>
    <xf numFmtId="0" fontId="3" fillId="0" borderId="1" xfId="0" applyFont="1" applyFill="1" applyBorder="1" applyAlignment="1" applyProtection="1">
      <alignment horizontal="center" vertical="center" shrinkToFit="1"/>
    </xf>
    <xf numFmtId="0" fontId="3" fillId="0" borderId="0" xfId="0" applyFont="1" applyFill="1" applyBorder="1" applyAlignment="1" applyProtection="1">
      <alignment vertical="center" wrapText="1" shrinkToFit="1"/>
    </xf>
    <xf numFmtId="38" fontId="3" fillId="0" borderId="1" xfId="1" applyFont="1" applyFill="1" applyBorder="1" applyAlignment="1" applyProtection="1">
      <alignment horizontal="center" vertical="center" shrinkToFit="1"/>
    </xf>
    <xf numFmtId="0" fontId="5" fillId="0" borderId="0" xfId="0" applyFont="1" applyFill="1" applyBorder="1" applyAlignment="1" applyProtection="1">
      <alignment horizontal="left" shrinkToFit="1"/>
    </xf>
    <xf numFmtId="0" fontId="5" fillId="0" borderId="0" xfId="0" applyFont="1" applyFill="1" applyBorder="1" applyAlignment="1" applyProtection="1">
      <alignment shrinkToFit="1"/>
    </xf>
    <xf numFmtId="38" fontId="24" fillId="0" borderId="1" xfId="1" applyFont="1" applyBorder="1" applyAlignment="1" applyProtection="1">
      <alignment vertical="center" shrinkToFit="1"/>
    </xf>
    <xf numFmtId="38" fontId="24" fillId="0" borderId="1" xfId="1" applyFont="1" applyFill="1" applyBorder="1" applyAlignment="1" applyProtection="1">
      <alignment horizontal="center" vertical="center" shrinkToFit="1"/>
    </xf>
    <xf numFmtId="0" fontId="22" fillId="0" borderId="1" xfId="0" applyFont="1" applyBorder="1" applyAlignment="1" applyProtection="1">
      <alignment horizontal="center" vertical="center" shrinkToFit="1"/>
    </xf>
    <xf numFmtId="0" fontId="23" fillId="0" borderId="1" xfId="0" applyFont="1" applyBorder="1" applyAlignment="1" applyProtection="1">
      <alignment vertical="center" shrinkToFit="1"/>
    </xf>
    <xf numFmtId="0" fontId="23" fillId="0" borderId="0" xfId="0" applyFont="1" applyAlignment="1" applyProtection="1">
      <alignment vertical="center" shrinkToFit="1"/>
    </xf>
    <xf numFmtId="0" fontId="24" fillId="0" borderId="1" xfId="0" applyFont="1" applyBorder="1" applyAlignment="1" applyProtection="1">
      <alignment vertical="center" shrinkToFit="1"/>
    </xf>
    <xf numFmtId="0" fontId="24" fillId="0" borderId="0" xfId="0" applyFont="1" applyBorder="1" applyAlignment="1" applyProtection="1">
      <alignment vertical="center" shrinkToFit="1"/>
    </xf>
    <xf numFmtId="38" fontId="25" fillId="0" borderId="1" xfId="1" applyFont="1" applyBorder="1" applyAlignment="1" applyProtection="1">
      <alignment vertical="center" shrinkToFit="1"/>
    </xf>
    <xf numFmtId="0" fontId="25" fillId="0" borderId="1" xfId="0" applyFont="1" applyBorder="1" applyAlignment="1" applyProtection="1">
      <alignment vertical="center" shrinkToFit="1"/>
    </xf>
    <xf numFmtId="0" fontId="25" fillId="0" borderId="0" xfId="0" applyFont="1" applyBorder="1" applyAlignment="1" applyProtection="1">
      <alignment vertical="center" shrinkToFit="1"/>
    </xf>
    <xf numFmtId="0" fontId="24" fillId="0" borderId="1" xfId="0" applyFont="1" applyFill="1" applyBorder="1" applyAlignment="1" applyProtection="1">
      <alignment vertical="center" shrinkToFit="1"/>
    </xf>
    <xf numFmtId="38" fontId="23" fillId="0" borderId="1" xfId="1" applyFont="1" applyBorder="1" applyAlignment="1" applyProtection="1">
      <alignment vertical="center" shrinkToFit="1"/>
    </xf>
    <xf numFmtId="0" fontId="28" fillId="0" borderId="0" xfId="0" applyFont="1" applyAlignment="1">
      <alignment vertical="center"/>
    </xf>
    <xf numFmtId="0" fontId="28" fillId="0" borderId="0" xfId="0" applyFont="1">
      <alignment vertical="center"/>
    </xf>
    <xf numFmtId="38" fontId="28" fillId="0" borderId="0" xfId="0" applyNumberFormat="1" applyFont="1">
      <alignment vertical="center"/>
    </xf>
    <xf numFmtId="0" fontId="26" fillId="0" borderId="0" xfId="0" applyFont="1" applyAlignment="1">
      <alignment horizontal="center" vertical="center"/>
    </xf>
    <xf numFmtId="38" fontId="16" fillId="0" borderId="0" xfId="0" applyNumberFormat="1" applyFont="1" applyBorder="1" applyAlignment="1" applyProtection="1">
      <alignment vertical="center" shrinkToFit="1"/>
    </xf>
    <xf numFmtId="0" fontId="6" fillId="0" borderId="0" xfId="0" applyFont="1" applyBorder="1" applyAlignment="1" applyProtection="1">
      <alignment shrinkToFit="1"/>
    </xf>
    <xf numFmtId="0" fontId="29" fillId="0" borderId="0" xfId="0" applyFont="1" applyBorder="1" applyAlignment="1"/>
    <xf numFmtId="0" fontId="30" fillId="0" borderId="0" xfId="0" applyFont="1">
      <alignment vertical="center"/>
    </xf>
    <xf numFmtId="0" fontId="32" fillId="0" borderId="0" xfId="0" applyFont="1">
      <alignment vertical="center"/>
    </xf>
    <xf numFmtId="0" fontId="34" fillId="0" borderId="0" xfId="0" applyFont="1">
      <alignment vertical="center"/>
    </xf>
    <xf numFmtId="0" fontId="34" fillId="0" borderId="0" xfId="0" applyFont="1" applyAlignment="1">
      <alignment horizontal="center" vertical="center"/>
    </xf>
    <xf numFmtId="0" fontId="32" fillId="0" borderId="0" xfId="0" applyFont="1" applyAlignment="1">
      <alignment horizontal="center" vertical="center"/>
    </xf>
    <xf numFmtId="0" fontId="31" fillId="0" borderId="0" xfId="0" applyFont="1">
      <alignment vertical="center"/>
    </xf>
    <xf numFmtId="0" fontId="32" fillId="0" borderId="0" xfId="0" applyFont="1" applyFill="1" applyBorder="1" applyAlignment="1">
      <alignment horizontal="left" vertical="center"/>
    </xf>
    <xf numFmtId="0" fontId="3" fillId="3" borderId="1" xfId="0" applyFont="1" applyFill="1" applyBorder="1" applyAlignment="1" applyProtection="1">
      <alignment horizontal="center" vertical="center" shrinkToFit="1"/>
    </xf>
    <xf numFmtId="0" fontId="17" fillId="0" borderId="3" xfId="0" applyFont="1" applyFill="1" applyBorder="1" applyAlignment="1" applyProtection="1">
      <alignment horizontal="right" vertical="center" shrinkToFit="1"/>
    </xf>
    <xf numFmtId="38" fontId="3" fillId="9" borderId="1" xfId="1" applyFont="1" applyFill="1" applyBorder="1" applyAlignment="1" applyProtection="1">
      <alignment vertical="center" shrinkToFit="1"/>
    </xf>
    <xf numFmtId="38" fontId="24" fillId="9" borderId="1" xfId="1" applyFont="1" applyFill="1" applyBorder="1" applyAlignment="1" applyProtection="1">
      <alignment vertical="center" shrinkToFit="1"/>
    </xf>
    <xf numFmtId="0" fontId="24" fillId="9" borderId="1" xfId="0" applyFont="1" applyFill="1" applyBorder="1" applyAlignment="1" applyProtection="1">
      <alignment vertical="center" shrinkToFit="1"/>
    </xf>
    <xf numFmtId="0" fontId="27" fillId="0" borderId="0" xfId="0" applyFont="1" applyBorder="1" applyAlignment="1">
      <alignment horizontal="left" vertical="center"/>
    </xf>
    <xf numFmtId="0" fontId="27" fillId="0" borderId="0" xfId="0" applyFont="1" applyBorder="1" applyAlignment="1">
      <alignment horizontal="left"/>
    </xf>
    <xf numFmtId="0" fontId="26" fillId="0" borderId="0" xfId="0" applyFont="1" applyAlignment="1">
      <alignment horizontal="center" vertical="center"/>
    </xf>
    <xf numFmtId="0" fontId="36" fillId="0" borderId="0" xfId="0" applyFont="1" applyAlignment="1" applyProtection="1">
      <alignment horizontal="center" vertical="center" wrapText="1" shrinkToFit="1"/>
    </xf>
    <xf numFmtId="0" fontId="36" fillId="0" borderId="0" xfId="0" applyFont="1" applyAlignment="1" applyProtection="1">
      <alignment vertical="top" shrinkToFit="1"/>
    </xf>
    <xf numFmtId="0" fontId="38" fillId="0" borderId="1" xfId="0" applyFont="1" applyFill="1" applyBorder="1" applyAlignment="1" applyProtection="1">
      <alignment vertical="center" shrinkToFit="1"/>
    </xf>
    <xf numFmtId="38" fontId="38" fillId="0" borderId="1" xfId="1" applyFont="1" applyFill="1" applyBorder="1" applyAlignment="1" applyProtection="1">
      <alignment vertical="center" shrinkToFit="1"/>
    </xf>
    <xf numFmtId="0" fontId="38" fillId="0" borderId="39" xfId="0" applyFont="1" applyFill="1" applyBorder="1" applyAlignment="1" applyProtection="1">
      <alignment vertical="center" shrinkToFit="1"/>
    </xf>
    <xf numFmtId="0" fontId="38" fillId="0" borderId="0" xfId="0" applyFont="1" applyFill="1" applyBorder="1" applyAlignment="1" applyProtection="1">
      <alignment vertical="center" shrinkToFit="1"/>
    </xf>
    <xf numFmtId="0" fontId="38" fillId="0" borderId="39" xfId="0" applyFont="1" applyBorder="1" applyAlignment="1" applyProtection="1">
      <alignment vertical="center" shrinkToFit="1"/>
    </xf>
    <xf numFmtId="0" fontId="34" fillId="0" borderId="0" xfId="0" applyFont="1" applyBorder="1" applyAlignment="1" applyProtection="1">
      <alignment vertical="center" shrinkToFit="1"/>
    </xf>
    <xf numFmtId="0" fontId="38" fillId="3" borderId="10" xfId="0" applyFont="1" applyFill="1" applyBorder="1" applyAlignment="1" applyProtection="1">
      <alignment vertical="center" shrinkToFit="1"/>
    </xf>
    <xf numFmtId="0" fontId="38" fillId="3" borderId="12" xfId="0" applyFont="1" applyFill="1" applyBorder="1" applyAlignment="1" applyProtection="1">
      <alignment vertical="center" shrinkToFit="1"/>
    </xf>
    <xf numFmtId="0" fontId="38" fillId="3" borderId="1" xfId="0" applyFont="1" applyFill="1" applyBorder="1" applyAlignment="1" applyProtection="1">
      <alignment horizontal="center" vertical="center" shrinkToFit="1"/>
    </xf>
    <xf numFmtId="0" fontId="38" fillId="0" borderId="1" xfId="0" applyFont="1" applyFill="1" applyBorder="1" applyAlignment="1" applyProtection="1">
      <alignment horizontal="right" vertical="center" shrinkToFit="1"/>
    </xf>
    <xf numFmtId="38" fontId="38" fillId="0" borderId="1" xfId="1" applyFont="1" applyFill="1" applyBorder="1" applyAlignment="1" applyProtection="1">
      <alignment horizontal="right" vertical="center" shrinkToFit="1"/>
    </xf>
    <xf numFmtId="0" fontId="34" fillId="0" borderId="0" xfId="0" applyFont="1" applyFill="1" applyBorder="1" applyAlignment="1" applyProtection="1">
      <alignment vertical="center" shrinkToFit="1"/>
    </xf>
    <xf numFmtId="0" fontId="38" fillId="0" borderId="0" xfId="0" applyFont="1" applyBorder="1" applyAlignment="1" applyProtection="1">
      <alignment vertical="center" shrinkToFit="1"/>
    </xf>
    <xf numFmtId="38" fontId="38" fillId="0" borderId="13" xfId="1" applyFont="1" applyFill="1" applyBorder="1" applyAlignment="1" applyProtection="1">
      <alignment horizontal="right" vertical="center" shrinkToFit="1"/>
    </xf>
    <xf numFmtId="38" fontId="38" fillId="0" borderId="0" xfId="0" applyNumberFormat="1" applyFont="1" applyBorder="1" applyAlignment="1" applyProtection="1">
      <alignment vertical="center" shrinkToFit="1"/>
    </xf>
    <xf numFmtId="0" fontId="38" fillId="0" borderId="44" xfId="0" applyFont="1" applyFill="1" applyBorder="1" applyAlignment="1" applyProtection="1">
      <alignment horizontal="right" vertical="center" shrinkToFit="1"/>
    </xf>
    <xf numFmtId="38" fontId="38" fillId="0" borderId="44" xfId="1" applyFont="1" applyFill="1" applyBorder="1" applyAlignment="1" applyProtection="1">
      <alignment horizontal="right" vertical="center" shrinkToFit="1"/>
    </xf>
    <xf numFmtId="0" fontId="28" fillId="0" borderId="0" xfId="0" applyFont="1" applyBorder="1" applyAlignment="1" applyProtection="1">
      <alignment shrinkToFit="1"/>
    </xf>
    <xf numFmtId="0" fontId="38" fillId="0" borderId="9" xfId="0" applyFont="1" applyBorder="1" applyAlignment="1" applyProtection="1">
      <alignment horizontal="right" vertical="center" shrinkToFit="1"/>
    </xf>
    <xf numFmtId="38" fontId="38" fillId="0" borderId="9" xfId="1" applyFont="1" applyBorder="1" applyAlignment="1" applyProtection="1">
      <alignment horizontal="right" vertical="center" shrinkToFit="1"/>
    </xf>
    <xf numFmtId="0" fontId="39" fillId="0" borderId="0" xfId="0" applyFont="1">
      <alignment vertical="center"/>
    </xf>
    <xf numFmtId="0" fontId="30" fillId="0" borderId="0" xfId="0" applyFont="1" applyAlignment="1">
      <alignment vertical="center"/>
    </xf>
    <xf numFmtId="0" fontId="30" fillId="0" borderId="0" xfId="0" applyFont="1" applyBorder="1" applyAlignment="1">
      <alignment vertical="center"/>
    </xf>
    <xf numFmtId="0" fontId="29" fillId="3" borderId="13" xfId="0" applyFont="1" applyFill="1" applyBorder="1" applyAlignment="1" applyProtection="1">
      <alignment horizontal="center" vertical="center" wrapText="1" shrinkToFit="1"/>
    </xf>
    <xf numFmtId="0" fontId="30" fillId="0" borderId="0" xfId="0" applyFont="1" applyBorder="1">
      <alignment vertical="center"/>
    </xf>
    <xf numFmtId="0" fontId="30" fillId="3" borderId="1" xfId="0" applyFont="1" applyFill="1" applyBorder="1" applyAlignment="1">
      <alignment horizontal="center" vertical="center"/>
    </xf>
    <xf numFmtId="0" fontId="30" fillId="7" borderId="1" xfId="0" applyFont="1" applyFill="1" applyBorder="1" applyAlignment="1" applyProtection="1">
      <alignment horizontal="center" vertical="center"/>
      <protection locked="0"/>
    </xf>
    <xf numFmtId="38" fontId="30" fillId="0" borderId="1" xfId="0" applyNumberFormat="1" applyFont="1" applyBorder="1">
      <alignment vertical="center"/>
    </xf>
    <xf numFmtId="38" fontId="30" fillId="8" borderId="1" xfId="0" applyNumberFormat="1" applyFont="1" applyFill="1" applyBorder="1">
      <alignment vertical="center"/>
    </xf>
    <xf numFmtId="38" fontId="30" fillId="0" borderId="13" xfId="0" applyNumberFormat="1" applyFont="1" applyBorder="1">
      <alignment vertical="center"/>
    </xf>
    <xf numFmtId="0" fontId="29" fillId="0" borderId="0" xfId="0" applyFont="1" applyAlignment="1"/>
    <xf numFmtId="0" fontId="30" fillId="0" borderId="10" xfId="0" applyFont="1" applyBorder="1">
      <alignment vertical="center"/>
    </xf>
    <xf numFmtId="38" fontId="30" fillId="0" borderId="58" xfId="0" applyNumberFormat="1" applyFont="1" applyBorder="1">
      <alignment vertical="center"/>
    </xf>
    <xf numFmtId="0" fontId="29" fillId="0" borderId="0" xfId="0" applyFont="1">
      <alignment vertical="center"/>
    </xf>
    <xf numFmtId="0" fontId="30" fillId="0" borderId="0" xfId="0" applyFont="1" applyFill="1" applyAlignment="1">
      <alignment vertical="center"/>
    </xf>
    <xf numFmtId="0" fontId="30" fillId="0" borderId="11" xfId="0" applyFont="1" applyBorder="1">
      <alignment vertical="center"/>
    </xf>
    <xf numFmtId="0" fontId="30" fillId="0" borderId="12" xfId="0" applyFont="1" applyBorder="1">
      <alignment vertical="center"/>
    </xf>
    <xf numFmtId="0" fontId="30" fillId="0" borderId="5" xfId="0" applyFont="1" applyBorder="1">
      <alignment vertical="center"/>
    </xf>
    <xf numFmtId="0" fontId="29" fillId="0" borderId="2" xfId="0" applyFont="1" applyBorder="1" applyAlignment="1"/>
    <xf numFmtId="0" fontId="30" fillId="0" borderId="6" xfId="0" applyFont="1" applyBorder="1">
      <alignment vertical="center"/>
    </xf>
    <xf numFmtId="0" fontId="30" fillId="0" borderId="7" xfId="0" applyFont="1" applyBorder="1">
      <alignment vertical="center"/>
    </xf>
    <xf numFmtId="0" fontId="30" fillId="0" borderId="8" xfId="0" applyFont="1" applyBorder="1">
      <alignment vertical="center"/>
    </xf>
    <xf numFmtId="0" fontId="32" fillId="0" borderId="0" xfId="0" applyFont="1" applyBorder="1" applyAlignment="1" applyProtection="1">
      <alignment vertical="center" shrinkToFit="1"/>
    </xf>
    <xf numFmtId="0" fontId="6" fillId="0" borderId="1" xfId="0" applyFont="1" applyBorder="1" applyAlignment="1" applyProtection="1">
      <alignment horizontal="center" vertical="center" shrinkToFit="1"/>
    </xf>
    <xf numFmtId="0" fontId="4" fillId="9" borderId="4" xfId="0" applyFont="1" applyFill="1" applyBorder="1" applyAlignment="1" applyProtection="1">
      <alignment horizontal="center" vertical="center" shrinkToFit="1"/>
    </xf>
    <xf numFmtId="0" fontId="4" fillId="9" borderId="3" xfId="0" applyFont="1" applyFill="1" applyBorder="1" applyAlignment="1" applyProtection="1">
      <alignment horizontal="center" vertical="center" shrinkToFit="1"/>
    </xf>
    <xf numFmtId="38" fontId="3" fillId="0" borderId="1" xfId="1" applyFont="1" applyFill="1" applyBorder="1" applyAlignment="1" applyProtection="1">
      <alignment vertical="center" shrinkToFit="1"/>
    </xf>
    <xf numFmtId="0" fontId="38" fillId="3" borderId="11" xfId="0" applyFont="1" applyFill="1" applyBorder="1" applyAlignment="1" applyProtection="1">
      <alignment horizontal="center" vertical="center" shrinkToFit="1"/>
    </xf>
    <xf numFmtId="0" fontId="38" fillId="3" borderId="6" xfId="0" applyFont="1" applyFill="1" applyBorder="1" applyAlignment="1" applyProtection="1">
      <alignment horizontal="center" vertical="center" shrinkToFit="1"/>
    </xf>
    <xf numFmtId="0" fontId="38" fillId="0" borderId="10" xfId="0" applyFont="1" applyBorder="1" applyAlignment="1" applyProtection="1">
      <alignment horizontal="left" vertical="center" shrinkToFit="1"/>
    </xf>
    <xf numFmtId="38" fontId="34" fillId="0" borderId="4" xfId="1" applyFont="1" applyBorder="1" applyAlignment="1" applyProtection="1">
      <alignment horizontal="center" vertical="center" shrinkToFit="1"/>
    </xf>
    <xf numFmtId="38" fontId="34" fillId="0" borderId="33" xfId="1" applyFont="1" applyBorder="1" applyAlignment="1" applyProtection="1">
      <alignment horizontal="center" vertical="center" shrinkToFit="1"/>
    </xf>
    <xf numFmtId="38" fontId="34" fillId="0" borderId="3" xfId="1" applyFont="1" applyBorder="1" applyAlignment="1" applyProtection="1">
      <alignment horizontal="center" vertical="center" shrinkToFit="1"/>
    </xf>
    <xf numFmtId="0" fontId="3" fillId="0" borderId="0" xfId="0" applyFont="1" applyBorder="1" applyAlignment="1" applyProtection="1">
      <alignment horizontal="left" vertical="center" wrapText="1" shrinkToFit="1"/>
    </xf>
    <xf numFmtId="0" fontId="3" fillId="3" borderId="1" xfId="0" applyFont="1" applyFill="1" applyBorder="1" applyAlignment="1" applyProtection="1">
      <alignment horizontal="center" vertical="center" wrapText="1" shrinkToFit="1"/>
    </xf>
    <xf numFmtId="0" fontId="38" fillId="0" borderId="0" xfId="0" applyFont="1" applyBorder="1" applyAlignment="1" applyProtection="1">
      <alignment horizontal="left" shrinkToFit="1"/>
    </xf>
    <xf numFmtId="0" fontId="7" fillId="3" borderId="4" xfId="0" applyFont="1" applyFill="1" applyBorder="1" applyAlignment="1" applyProtection="1">
      <alignment horizontal="center" vertical="center" shrinkToFit="1"/>
    </xf>
    <xf numFmtId="0" fontId="7" fillId="3" borderId="33" xfId="0" applyFont="1" applyFill="1" applyBorder="1" applyAlignment="1" applyProtection="1">
      <alignment horizontal="center" vertical="center" shrinkToFit="1"/>
    </xf>
    <xf numFmtId="0" fontId="7" fillId="3" borderId="3" xfId="0" applyFont="1" applyFill="1" applyBorder="1" applyAlignment="1" applyProtection="1">
      <alignment horizontal="center" vertical="center" shrinkToFit="1"/>
    </xf>
    <xf numFmtId="0" fontId="29" fillId="3" borderId="13" xfId="0" applyFont="1" applyFill="1" applyBorder="1" applyAlignment="1" applyProtection="1">
      <alignment horizontal="center" vertical="center" wrapText="1" shrinkToFit="1"/>
    </xf>
    <xf numFmtId="0" fontId="29" fillId="3" borderId="9" xfId="0" applyFont="1" applyFill="1" applyBorder="1" applyAlignment="1" applyProtection="1">
      <alignment horizontal="center" vertical="center" shrinkToFit="1"/>
    </xf>
    <xf numFmtId="38" fontId="26" fillId="0" borderId="21" xfId="0" applyNumberFormat="1" applyFont="1" applyBorder="1" applyAlignment="1" applyProtection="1">
      <alignment horizontal="center" vertical="center" shrinkToFit="1"/>
    </xf>
    <xf numFmtId="38" fontId="26" fillId="0" borderId="49" xfId="0" applyNumberFormat="1" applyFont="1" applyBorder="1" applyAlignment="1" applyProtection="1">
      <alignment horizontal="center" vertical="center" shrinkToFit="1"/>
    </xf>
    <xf numFmtId="38" fontId="26" fillId="0" borderId="22" xfId="0" applyNumberFormat="1" applyFont="1" applyBorder="1" applyAlignment="1" applyProtection="1">
      <alignment horizontal="center" vertical="center" shrinkToFit="1"/>
    </xf>
    <xf numFmtId="38" fontId="26" fillId="0" borderId="23" xfId="0" applyNumberFormat="1" applyFont="1" applyBorder="1" applyAlignment="1" applyProtection="1">
      <alignment horizontal="center" vertical="center" shrinkToFit="1"/>
    </xf>
    <xf numFmtId="38" fontId="26" fillId="0" borderId="50" xfId="0" applyNumberFormat="1" applyFont="1" applyBorder="1" applyAlignment="1" applyProtection="1">
      <alignment horizontal="center" vertical="center" shrinkToFit="1"/>
    </xf>
    <xf numFmtId="38" fontId="26" fillId="0" borderId="24" xfId="0" applyNumberFormat="1" applyFont="1" applyBorder="1" applyAlignment="1" applyProtection="1">
      <alignment horizontal="center" vertical="center" shrinkToFit="1"/>
    </xf>
    <xf numFmtId="0" fontId="38" fillId="3" borderId="1" xfId="0" applyFont="1" applyFill="1" applyBorder="1" applyAlignment="1" applyProtection="1">
      <alignment horizontal="center" vertical="center" shrinkToFit="1"/>
    </xf>
    <xf numFmtId="0" fontId="32" fillId="0" borderId="0" xfId="0" applyFont="1" applyBorder="1" applyAlignment="1" applyProtection="1">
      <alignment horizontal="left" wrapText="1" shrinkToFit="1"/>
    </xf>
    <xf numFmtId="0" fontId="32" fillId="0" borderId="0" xfId="0" applyFont="1" applyBorder="1" applyAlignment="1" applyProtection="1">
      <alignment horizontal="left" shrinkToFit="1"/>
    </xf>
    <xf numFmtId="0" fontId="32" fillId="0" borderId="0" xfId="0" applyFont="1" applyBorder="1" applyAlignment="1" applyProtection="1">
      <alignment horizontal="left" vertical="center" shrinkToFit="1"/>
    </xf>
    <xf numFmtId="0" fontId="38" fillId="3" borderId="13" xfId="0" applyFont="1" applyFill="1" applyBorder="1" applyAlignment="1" applyProtection="1">
      <alignment horizontal="center" vertical="center" wrapText="1" shrinkToFit="1"/>
    </xf>
    <xf numFmtId="0" fontId="38" fillId="3" borderId="9" xfId="0" applyFont="1" applyFill="1" applyBorder="1" applyAlignment="1" applyProtection="1">
      <alignment horizontal="center" vertical="center" shrinkToFit="1"/>
    </xf>
    <xf numFmtId="0" fontId="3" fillId="0" borderId="7" xfId="0" applyFont="1" applyFill="1" applyBorder="1" applyAlignment="1" applyProtection="1">
      <alignment horizontal="left" vertical="center" wrapText="1" shrinkToFit="1"/>
    </xf>
    <xf numFmtId="0" fontId="3" fillId="0" borderId="0" xfId="0" applyFont="1" applyBorder="1" applyAlignment="1" applyProtection="1">
      <alignment vertical="center" shrinkToFit="1"/>
    </xf>
    <xf numFmtId="0" fontId="11" fillId="3" borderId="19" xfId="0" applyFont="1" applyFill="1" applyBorder="1" applyAlignment="1" applyProtection="1">
      <alignment horizontal="center" vertical="center" wrapText="1" shrinkToFit="1"/>
    </xf>
    <xf numFmtId="0" fontId="11" fillId="3" borderId="54" xfId="0" applyFont="1" applyFill="1" applyBorder="1" applyAlignment="1" applyProtection="1">
      <alignment horizontal="center" vertical="center" wrapText="1" shrinkToFit="1"/>
    </xf>
    <xf numFmtId="0" fontId="11" fillId="3" borderId="20" xfId="0" applyFont="1" applyFill="1" applyBorder="1" applyAlignment="1" applyProtection="1">
      <alignment horizontal="center" vertical="center" wrapText="1" shrinkToFit="1"/>
    </xf>
    <xf numFmtId="0" fontId="3" fillId="3" borderId="48" xfId="0" applyFont="1" applyFill="1" applyBorder="1" applyAlignment="1" applyProtection="1">
      <alignment horizontal="center" vertical="center" wrapText="1" shrinkToFit="1"/>
    </xf>
    <xf numFmtId="0" fontId="3" fillId="3" borderId="53" xfId="0" applyFont="1" applyFill="1" applyBorder="1" applyAlignment="1" applyProtection="1">
      <alignment horizontal="center" vertical="center" wrapText="1" shrinkToFit="1"/>
    </xf>
    <xf numFmtId="0" fontId="3" fillId="3" borderId="17" xfId="0" applyFont="1" applyFill="1" applyBorder="1" applyAlignment="1" applyProtection="1">
      <alignment horizontal="center" vertical="center" shrinkToFit="1"/>
    </xf>
    <xf numFmtId="0" fontId="38" fillId="0" borderId="1" xfId="0" applyFont="1" applyFill="1" applyBorder="1" applyAlignment="1" applyProtection="1">
      <alignment horizontal="left" vertical="center" shrinkToFit="1"/>
    </xf>
    <xf numFmtId="0" fontId="3" fillId="3" borderId="1" xfId="0" applyFont="1" applyFill="1" applyBorder="1" applyAlignment="1" applyProtection="1">
      <alignment horizontal="center" vertical="center" shrinkToFit="1"/>
    </xf>
    <xf numFmtId="0" fontId="8" fillId="4" borderId="34" xfId="0" applyFont="1" applyFill="1" applyBorder="1" applyAlignment="1" applyProtection="1">
      <alignment horizontal="center" vertical="center" shrinkToFit="1"/>
    </xf>
    <xf numFmtId="0" fontId="8" fillId="4" borderId="35" xfId="0" applyFont="1" applyFill="1" applyBorder="1" applyAlignment="1" applyProtection="1">
      <alignment horizontal="center" vertical="center" shrinkToFit="1"/>
    </xf>
    <xf numFmtId="0" fontId="8" fillId="4" borderId="36" xfId="0" applyFont="1" applyFill="1" applyBorder="1" applyAlignment="1" applyProtection="1">
      <alignment horizontal="center" vertical="center" shrinkToFit="1"/>
    </xf>
    <xf numFmtId="0" fontId="8" fillId="4" borderId="37" xfId="0" applyFont="1" applyFill="1" applyBorder="1" applyAlignment="1" applyProtection="1">
      <alignment horizontal="center" vertical="center" shrinkToFit="1"/>
    </xf>
    <xf numFmtId="0" fontId="8" fillId="4" borderId="7" xfId="0" applyFont="1" applyFill="1" applyBorder="1" applyAlignment="1" applyProtection="1">
      <alignment horizontal="center" vertical="center" shrinkToFit="1"/>
    </xf>
    <xf numFmtId="0" fontId="8" fillId="4" borderId="38" xfId="0" applyFont="1" applyFill="1" applyBorder="1" applyAlignment="1" applyProtection="1">
      <alignment horizontal="center" vertical="center" shrinkToFit="1"/>
    </xf>
    <xf numFmtId="0" fontId="38" fillId="0" borderId="0" xfId="0" applyFont="1" applyBorder="1" applyAlignment="1" applyProtection="1">
      <alignment horizontal="left" vertical="center" shrinkToFit="1"/>
    </xf>
    <xf numFmtId="0" fontId="3" fillId="3" borderId="3" xfId="0" applyFont="1" applyFill="1" applyBorder="1" applyAlignment="1" applyProtection="1">
      <alignment horizontal="center" vertical="center" shrinkToFit="1"/>
    </xf>
    <xf numFmtId="0" fontId="4" fillId="0" borderId="0" xfId="0" applyFont="1" applyFill="1" applyBorder="1" applyAlignment="1" applyProtection="1">
      <alignment horizontal="left" vertical="top" shrinkToFit="1"/>
    </xf>
    <xf numFmtId="0" fontId="38" fillId="0" borderId="10" xfId="0" applyFont="1" applyFill="1" applyBorder="1" applyAlignment="1" applyProtection="1">
      <alignment horizontal="left" vertical="center" wrapText="1" shrinkToFit="1"/>
    </xf>
    <xf numFmtId="0" fontId="38" fillId="0" borderId="0" xfId="0" applyFont="1" applyFill="1" applyBorder="1" applyAlignment="1" applyProtection="1">
      <alignment horizontal="left" vertical="center" wrapText="1" shrinkToFit="1"/>
    </xf>
    <xf numFmtId="0" fontId="35" fillId="0" borderId="0" xfId="0" applyFont="1" applyAlignment="1" applyProtection="1">
      <alignment horizontal="center" vertical="top" wrapText="1" shrinkToFit="1"/>
    </xf>
    <xf numFmtId="0" fontId="3" fillId="3" borderId="4" xfId="0" applyFont="1" applyFill="1" applyBorder="1" applyAlignment="1" applyProtection="1">
      <alignment horizontal="center" vertical="center" wrapText="1" shrinkToFit="1"/>
    </xf>
    <xf numFmtId="0" fontId="3" fillId="3" borderId="4" xfId="0" applyFont="1" applyFill="1" applyBorder="1" applyAlignment="1" applyProtection="1">
      <alignment horizontal="center" vertical="center" shrinkToFit="1"/>
    </xf>
    <xf numFmtId="0" fontId="3" fillId="3" borderId="13" xfId="0" applyFont="1" applyFill="1" applyBorder="1" applyAlignment="1" applyProtection="1">
      <alignment horizontal="center" vertical="center" wrapText="1" shrinkToFit="1"/>
    </xf>
    <xf numFmtId="0" fontId="3" fillId="3" borderId="52" xfId="0" applyFont="1" applyFill="1" applyBorder="1" applyAlignment="1" applyProtection="1">
      <alignment horizontal="center" vertical="center" wrapText="1" shrinkToFit="1"/>
    </xf>
    <xf numFmtId="0" fontId="35" fillId="0" borderId="25" xfId="0" applyFont="1" applyBorder="1" applyAlignment="1" applyProtection="1">
      <alignment horizontal="center" wrapText="1" shrinkToFit="1"/>
    </xf>
    <xf numFmtId="0" fontId="35" fillId="0" borderId="26" xfId="0" applyFont="1" applyBorder="1" applyAlignment="1" applyProtection="1">
      <alignment horizontal="center" wrapText="1" shrinkToFit="1"/>
    </xf>
    <xf numFmtId="0" fontId="35" fillId="0" borderId="27" xfId="0" applyFont="1" applyBorder="1" applyAlignment="1" applyProtection="1">
      <alignment horizontal="center" wrapText="1" shrinkToFit="1"/>
    </xf>
    <xf numFmtId="0" fontId="35" fillId="0" borderId="28" xfId="0" applyFont="1" applyBorder="1" applyAlignment="1" applyProtection="1">
      <alignment horizontal="center" wrapText="1" shrinkToFit="1"/>
    </xf>
    <xf numFmtId="0" fontId="35" fillId="0" borderId="0" xfId="0" applyFont="1" applyBorder="1" applyAlignment="1" applyProtection="1">
      <alignment horizontal="center" wrapText="1" shrinkToFit="1"/>
    </xf>
    <xf numFmtId="0" fontId="35" fillId="0" borderId="29" xfId="0" applyFont="1" applyBorder="1" applyAlignment="1" applyProtection="1">
      <alignment horizontal="center" wrapText="1" shrinkToFit="1"/>
    </xf>
    <xf numFmtId="0" fontId="34" fillId="0" borderId="7" xfId="0" applyFont="1" applyBorder="1" applyAlignment="1" applyProtection="1">
      <alignment horizontal="center" vertical="center" shrinkToFit="1"/>
    </xf>
    <xf numFmtId="0" fontId="11" fillId="3" borderId="10" xfId="0" applyFont="1" applyFill="1" applyBorder="1" applyAlignment="1" applyProtection="1">
      <alignment horizontal="center" vertical="center" wrapText="1" shrinkToFit="1"/>
    </xf>
    <xf numFmtId="0" fontId="11" fillId="3" borderId="0" xfId="0" applyFont="1" applyFill="1" applyBorder="1" applyAlignment="1" applyProtection="1">
      <alignment horizontal="center" vertical="center" wrapText="1" shrinkToFit="1"/>
    </xf>
    <xf numFmtId="0" fontId="11" fillId="3" borderId="7" xfId="0" applyFont="1" applyFill="1" applyBorder="1" applyAlignment="1" applyProtection="1">
      <alignment horizontal="center" vertical="center" wrapText="1" shrinkToFit="1"/>
    </xf>
    <xf numFmtId="0" fontId="3" fillId="0" borderId="0" xfId="0" applyFont="1" applyBorder="1" applyAlignment="1" applyProtection="1">
      <alignment horizontal="left" vertical="center" shrinkToFit="1"/>
    </xf>
    <xf numFmtId="0" fontId="11" fillId="3" borderId="13" xfId="0" applyFont="1" applyFill="1" applyBorder="1" applyAlignment="1" applyProtection="1">
      <alignment horizontal="center" vertical="center" wrapText="1" shrinkToFit="1"/>
    </xf>
    <xf numFmtId="0" fontId="11" fillId="3" borderId="52" xfId="0" applyFont="1" applyFill="1" applyBorder="1" applyAlignment="1" applyProtection="1">
      <alignment horizontal="center" vertical="center" wrapText="1" shrinkToFit="1"/>
    </xf>
    <xf numFmtId="0" fontId="11" fillId="3" borderId="9" xfId="0" applyFont="1" applyFill="1" applyBorder="1" applyAlignment="1" applyProtection="1">
      <alignment horizontal="center" vertical="center" shrinkToFit="1"/>
    </xf>
    <xf numFmtId="0" fontId="3" fillId="0" borderId="0" xfId="0" applyFont="1" applyBorder="1" applyAlignment="1" applyProtection="1">
      <alignment horizontal="left" vertical="top" shrinkToFit="1"/>
    </xf>
    <xf numFmtId="0" fontId="34" fillId="0" borderId="0" xfId="0" applyFont="1" applyFill="1" applyBorder="1" applyAlignment="1" applyProtection="1">
      <alignment horizontal="center" vertical="center" shrinkToFit="1"/>
    </xf>
    <xf numFmtId="0" fontId="3" fillId="3" borderId="9" xfId="0" applyFont="1" applyFill="1" applyBorder="1" applyAlignment="1" applyProtection="1">
      <alignment horizontal="center" vertical="center" wrapText="1" shrinkToFit="1"/>
    </xf>
    <xf numFmtId="0" fontId="34" fillId="0" borderId="28" xfId="0" applyFont="1" applyBorder="1" applyAlignment="1" applyProtection="1">
      <alignment horizontal="left" vertical="top" shrinkToFit="1"/>
    </xf>
    <xf numFmtId="0" fontId="34" fillId="0" borderId="0" xfId="0" applyFont="1" applyBorder="1" applyAlignment="1" applyProtection="1">
      <alignment horizontal="left" vertical="top" shrinkToFit="1"/>
    </xf>
    <xf numFmtId="0" fontId="34" fillId="0" borderId="29" xfId="0" applyFont="1" applyBorder="1" applyAlignment="1" applyProtection="1">
      <alignment horizontal="left" vertical="top" shrinkToFit="1"/>
    </xf>
    <xf numFmtId="0" fontId="17" fillId="0" borderId="4" xfId="0" applyFont="1" applyFill="1" applyBorder="1" applyAlignment="1" applyProtection="1">
      <alignment horizontal="center" vertical="center" shrinkToFit="1"/>
    </xf>
    <xf numFmtId="0" fontId="17" fillId="0" borderId="33" xfId="0" applyFont="1" applyFill="1" applyBorder="1" applyAlignment="1" applyProtection="1">
      <alignment horizontal="center" vertical="center" shrinkToFit="1"/>
    </xf>
    <xf numFmtId="0" fontId="17" fillId="0" borderId="3" xfId="0" applyFont="1" applyFill="1" applyBorder="1" applyAlignment="1" applyProtection="1">
      <alignment horizontal="center" vertical="center" shrinkToFit="1"/>
    </xf>
    <xf numFmtId="38" fontId="17" fillId="0" borderId="12" xfId="1" applyFont="1" applyFill="1" applyBorder="1" applyAlignment="1" applyProtection="1">
      <alignment horizontal="center" vertical="center" wrapText="1" shrinkToFit="1"/>
    </xf>
    <xf numFmtId="38" fontId="17" fillId="0" borderId="2" xfId="1" applyFont="1" applyFill="1" applyBorder="1" applyAlignment="1" applyProtection="1">
      <alignment horizontal="center" vertical="center" shrinkToFit="1"/>
    </xf>
    <xf numFmtId="38" fontId="17" fillId="0" borderId="8" xfId="1" applyFont="1" applyFill="1" applyBorder="1" applyAlignment="1" applyProtection="1">
      <alignment horizontal="center" vertical="center" shrinkToFit="1"/>
    </xf>
    <xf numFmtId="0" fontId="19" fillId="0" borderId="10" xfId="0" applyFont="1" applyFill="1" applyBorder="1" applyAlignment="1" applyProtection="1">
      <alignment horizontal="center" vertical="center" shrinkToFit="1"/>
    </xf>
    <xf numFmtId="0" fontId="19" fillId="0" borderId="12"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shrinkToFit="1"/>
    </xf>
    <xf numFmtId="0" fontId="19" fillId="0" borderId="8" xfId="0" applyFont="1" applyFill="1" applyBorder="1" applyAlignment="1" applyProtection="1">
      <alignment horizontal="center" vertical="center" shrinkToFit="1"/>
    </xf>
    <xf numFmtId="0" fontId="34" fillId="0" borderId="30" xfId="0" applyFont="1" applyBorder="1" applyAlignment="1" applyProtection="1">
      <alignment horizontal="left" vertical="top" shrinkToFit="1"/>
    </xf>
    <xf numFmtId="0" fontId="34" fillId="0" borderId="31" xfId="0" applyFont="1" applyBorder="1" applyAlignment="1" applyProtection="1">
      <alignment horizontal="left" vertical="top" shrinkToFit="1"/>
    </xf>
    <xf numFmtId="0" fontId="34" fillId="0" borderId="32" xfId="0" applyFont="1" applyBorder="1" applyAlignment="1" applyProtection="1">
      <alignment horizontal="left" vertical="top" shrinkToFit="1"/>
    </xf>
    <xf numFmtId="0" fontId="3" fillId="3" borderId="12" xfId="0" applyFont="1" applyFill="1" applyBorder="1" applyAlignment="1" applyProtection="1">
      <alignment horizontal="center" wrapText="1" shrinkToFit="1"/>
    </xf>
    <xf numFmtId="0" fontId="3" fillId="3" borderId="2" xfId="0" applyFont="1" applyFill="1" applyBorder="1" applyAlignment="1" applyProtection="1">
      <alignment horizontal="center" wrapText="1" shrinkToFit="1"/>
    </xf>
    <xf numFmtId="0" fontId="5" fillId="3" borderId="13" xfId="0" applyFont="1" applyFill="1" applyBorder="1" applyAlignment="1" applyProtection="1">
      <alignment horizontal="center" vertical="center" wrapText="1" shrinkToFit="1"/>
    </xf>
    <xf numFmtId="0" fontId="5" fillId="3" borderId="9" xfId="0" applyFont="1" applyFill="1" applyBorder="1" applyAlignment="1" applyProtection="1">
      <alignment horizontal="center" vertical="center" wrapText="1" shrinkToFit="1"/>
    </xf>
    <xf numFmtId="0" fontId="5" fillId="3" borderId="55" xfId="0" applyFont="1" applyFill="1" applyBorder="1" applyAlignment="1" applyProtection="1">
      <alignment horizontal="center" vertical="center" wrapText="1" shrinkToFit="1"/>
    </xf>
    <xf numFmtId="0" fontId="5" fillId="3" borderId="16" xfId="0" applyFont="1" applyFill="1" applyBorder="1" applyAlignment="1" applyProtection="1">
      <alignment horizontal="center" vertical="center" wrapText="1" shrinkToFit="1"/>
    </xf>
    <xf numFmtId="0" fontId="3" fillId="3" borderId="55" xfId="0" applyFont="1" applyFill="1" applyBorder="1" applyAlignment="1" applyProtection="1">
      <alignment horizontal="center" vertical="center" wrapText="1" shrinkToFit="1"/>
    </xf>
    <xf numFmtId="0" fontId="3" fillId="3" borderId="56" xfId="0" applyFont="1" applyFill="1" applyBorder="1" applyAlignment="1" applyProtection="1">
      <alignment horizontal="center" vertical="center" wrapText="1" shrinkToFit="1"/>
    </xf>
    <xf numFmtId="0" fontId="3" fillId="3" borderId="16" xfId="0" applyFont="1" applyFill="1" applyBorder="1" applyAlignment="1" applyProtection="1">
      <alignment horizontal="center" vertical="center" wrapText="1" shrinkToFit="1"/>
    </xf>
    <xf numFmtId="177" fontId="13" fillId="0" borderId="0" xfId="0" applyNumberFormat="1" applyFont="1" applyAlignment="1" applyProtection="1">
      <alignment horizontal="right" vertical="center" shrinkToFit="1"/>
    </xf>
    <xf numFmtId="0" fontId="37" fillId="0" borderId="0"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xf>
    <xf numFmtId="0" fontId="3" fillId="0" borderId="3" xfId="0" applyFont="1" applyBorder="1" applyAlignment="1" applyProtection="1">
      <alignment horizontal="center" vertical="center" shrinkToFit="1"/>
    </xf>
    <xf numFmtId="38" fontId="17" fillId="0" borderId="13" xfId="1" applyFont="1" applyFill="1" applyBorder="1" applyAlignment="1" applyProtection="1">
      <alignment horizontal="center" vertical="center" wrapText="1" shrinkToFit="1"/>
    </xf>
    <xf numFmtId="38" fontId="17" fillId="0" borderId="52" xfId="1" applyFont="1" applyFill="1" applyBorder="1" applyAlignment="1" applyProtection="1">
      <alignment horizontal="center" vertical="center" wrapText="1" shrinkToFit="1"/>
    </xf>
    <xf numFmtId="38" fontId="17" fillId="0" borderId="9" xfId="1" applyFont="1" applyFill="1" applyBorder="1" applyAlignment="1" applyProtection="1">
      <alignment horizontal="center" vertical="center" wrapText="1" shrinkToFit="1"/>
    </xf>
    <xf numFmtId="0" fontId="3" fillId="0" borderId="0" xfId="0" applyFont="1" applyBorder="1" applyAlignment="1" applyProtection="1">
      <alignment horizontal="center" vertical="center" shrinkToFit="1"/>
    </xf>
    <xf numFmtId="0" fontId="3" fillId="3" borderId="9" xfId="0" applyFont="1" applyFill="1" applyBorder="1" applyAlignment="1" applyProtection="1">
      <alignment horizontal="center" vertical="center" shrinkToFit="1"/>
    </xf>
    <xf numFmtId="177" fontId="39" fillId="0" borderId="0" xfId="0" applyNumberFormat="1" applyFont="1" applyAlignment="1">
      <alignment horizontal="right" vertical="center"/>
    </xf>
    <xf numFmtId="0" fontId="26" fillId="0" borderId="0" xfId="0" applyFont="1" applyAlignment="1">
      <alignment horizontal="center" vertical="center"/>
    </xf>
    <xf numFmtId="0" fontId="30" fillId="0" borderId="0" xfId="0" applyFont="1" applyAlignment="1">
      <alignment horizontal="center" vertical="center"/>
    </xf>
    <xf numFmtId="0" fontId="29" fillId="3" borderId="4" xfId="0" applyFont="1" applyFill="1" applyBorder="1" applyAlignment="1" applyProtection="1">
      <alignment horizontal="center" vertical="center" wrapText="1" shrinkToFit="1"/>
    </xf>
    <xf numFmtId="0" fontId="29" fillId="3" borderId="33" xfId="0" applyFont="1" applyFill="1" applyBorder="1" applyAlignment="1" applyProtection="1">
      <alignment horizontal="center" vertical="center" wrapText="1" shrinkToFit="1"/>
    </xf>
    <xf numFmtId="0" fontId="29" fillId="3" borderId="3" xfId="0" applyFont="1" applyFill="1" applyBorder="1" applyAlignment="1" applyProtection="1">
      <alignment horizontal="center" vertical="center" wrapText="1" shrinkToFit="1"/>
    </xf>
    <xf numFmtId="0" fontId="27" fillId="0" borderId="0" xfId="0" applyFont="1" applyBorder="1" applyAlignment="1">
      <alignment horizontal="left" vertical="center"/>
    </xf>
    <xf numFmtId="0" fontId="27" fillId="0" borderId="0" xfId="0" applyFont="1" applyBorder="1" applyAlignment="1">
      <alignment horizontal="left"/>
    </xf>
    <xf numFmtId="38" fontId="30" fillId="0" borderId="21" xfId="0" applyNumberFormat="1" applyFont="1" applyBorder="1" applyAlignment="1">
      <alignment horizontal="center" vertical="center"/>
    </xf>
    <xf numFmtId="38" fontId="30" fillId="0" borderId="22" xfId="0" applyNumberFormat="1" applyFont="1" applyBorder="1" applyAlignment="1">
      <alignment horizontal="center" vertical="center"/>
    </xf>
    <xf numFmtId="38" fontId="30" fillId="0" borderId="23" xfId="0" applyNumberFormat="1" applyFont="1" applyBorder="1" applyAlignment="1">
      <alignment horizontal="center" vertical="center"/>
    </xf>
    <xf numFmtId="38" fontId="30" fillId="0" borderId="24" xfId="0" applyNumberFormat="1" applyFont="1" applyBorder="1" applyAlignment="1">
      <alignment horizontal="center" vertical="center"/>
    </xf>
    <xf numFmtId="38" fontId="30" fillId="0" borderId="4" xfId="0" applyNumberFormat="1" applyFont="1" applyBorder="1" applyAlignment="1">
      <alignment horizontal="center" vertical="center"/>
    </xf>
    <xf numFmtId="38" fontId="30" fillId="0" borderId="3" xfId="0" applyNumberFormat="1" applyFont="1" applyBorder="1" applyAlignment="1">
      <alignment horizontal="center" vertical="center"/>
    </xf>
    <xf numFmtId="0" fontId="30" fillId="0" borderId="7" xfId="0" applyFont="1" applyBorder="1" applyAlignment="1">
      <alignment horizontal="center" vertical="center"/>
    </xf>
    <xf numFmtId="0" fontId="30" fillId="3" borderId="33"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38" fontId="30" fillId="8" borderId="1" xfId="0" applyNumberFormat="1" applyFont="1" applyFill="1" applyBorder="1" applyAlignment="1">
      <alignment horizontal="center" vertical="center"/>
    </xf>
    <xf numFmtId="0" fontId="30" fillId="0" borderId="4" xfId="0" applyFont="1" applyBorder="1" applyAlignment="1">
      <alignment horizontal="center" vertical="center"/>
    </xf>
    <xf numFmtId="0" fontId="30" fillId="0" borderId="3" xfId="0" applyFont="1" applyBorder="1" applyAlignment="1">
      <alignment horizontal="center" vertical="center"/>
    </xf>
    <xf numFmtId="0" fontId="27" fillId="0" borderId="0" xfId="0" applyFont="1" applyAlignment="1">
      <alignment horizontal="center" vertical="center"/>
    </xf>
    <xf numFmtId="0" fontId="31" fillId="3" borderId="4" xfId="0" applyFont="1" applyFill="1" applyBorder="1" applyAlignment="1">
      <alignment horizontal="center" vertical="center"/>
    </xf>
    <xf numFmtId="0" fontId="34" fillId="3" borderId="33" xfId="0" applyFont="1" applyFill="1" applyBorder="1" applyAlignment="1">
      <alignment horizontal="center" vertical="center"/>
    </xf>
    <xf numFmtId="0" fontId="34" fillId="3"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66FF"/>
      <color rgb="FFFFFF66"/>
      <color rgb="FFFF99FF"/>
      <color rgb="FFFF1E0D"/>
      <color rgb="FFCCFF99"/>
      <color rgb="FFF8BAEF"/>
      <color rgb="FFFF0000"/>
      <color rgb="FFA3D1FF"/>
      <color rgb="FFF5A1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12</xdr:col>
      <xdr:colOff>107157</xdr:colOff>
      <xdr:row>35</xdr:row>
      <xdr:rowOff>107156</xdr:rowOff>
    </xdr:from>
    <xdr:to>
      <xdr:col>12</xdr:col>
      <xdr:colOff>642937</xdr:colOff>
      <xdr:row>40</xdr:row>
      <xdr:rowOff>250031</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7441407" y="9441656"/>
          <a:ext cx="535780" cy="1809750"/>
        </a:xfrm>
        <a:prstGeom prst="rightBrace">
          <a:avLst>
            <a:gd name="adj1" fmla="val 8333"/>
            <a:gd name="adj2" fmla="val 3006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369095</xdr:colOff>
      <xdr:row>25</xdr:row>
      <xdr:rowOff>95250</xdr:rowOff>
    </xdr:from>
    <xdr:to>
      <xdr:col>11</xdr:col>
      <xdr:colOff>381001</xdr:colOff>
      <xdr:row>28</xdr:row>
      <xdr:rowOff>190501</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3893345" y="7096125"/>
          <a:ext cx="3059906" cy="1095376"/>
        </a:xfrm>
        <a:prstGeom prst="downArrow">
          <a:avLst>
            <a:gd name="adj1" fmla="val 52211"/>
            <a:gd name="adj2" fmla="val 50000"/>
          </a:avLst>
        </a:prstGeom>
        <a:solidFill>
          <a:srgbClr val="FFFF66"/>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試算結果</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xdr:from>
          <xdr:col>11</xdr:col>
          <xdr:colOff>571500</xdr:colOff>
          <xdr:row>11</xdr:row>
          <xdr:rowOff>28575</xdr:rowOff>
        </xdr:from>
        <xdr:to>
          <xdr:col>13</xdr:col>
          <xdr:colOff>238125</xdr:colOff>
          <xdr:row>11</xdr:row>
          <xdr:rowOff>295275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Ｐゴシック"/>
                  <a:ea typeface="ＭＳ Ｐゴシック"/>
                </a:rPr>
                <a:t>データクリア</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85725</xdr:colOff>
      <xdr:row>8</xdr:row>
      <xdr:rowOff>47625</xdr:rowOff>
    </xdr:from>
    <xdr:to>
      <xdr:col>10</xdr:col>
      <xdr:colOff>621505</xdr:colOff>
      <xdr:row>13</xdr:row>
      <xdr:rowOff>267432</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6753225" y="2562225"/>
          <a:ext cx="535780" cy="1791432"/>
        </a:xfrm>
        <a:prstGeom prst="rightBrace">
          <a:avLst>
            <a:gd name="adj1" fmla="val 8333"/>
            <a:gd name="adj2" fmla="val 4973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59"/>
  <sheetViews>
    <sheetView view="pageBreakPreview" zoomScale="75" zoomScaleNormal="80" zoomScaleSheetLayoutView="75" workbookViewId="0">
      <selection activeCell="D16" sqref="D16"/>
    </sheetView>
  </sheetViews>
  <sheetFormatPr defaultColWidth="10" defaultRowHeight="26.25" customHeight="1" x14ac:dyDescent="0.15"/>
  <cols>
    <col min="1" max="2" width="3.125" style="5" customWidth="1"/>
    <col min="3" max="3" width="10" style="5"/>
    <col min="4" max="4" width="10" style="5" customWidth="1"/>
    <col min="5" max="8" width="10" style="5"/>
    <col min="9" max="9" width="10" style="5" customWidth="1"/>
    <col min="10" max="17" width="10" style="5"/>
    <col min="18" max="18" width="3.125" style="5" customWidth="1"/>
    <col min="19" max="20" width="0" style="5" hidden="1" customWidth="1"/>
    <col min="21" max="21" width="10.75" style="5" hidden="1" customWidth="1"/>
    <col min="22" max="22" width="0" style="5" hidden="1" customWidth="1"/>
    <col min="23" max="23" width="3" style="15" hidden="1" customWidth="1"/>
    <col min="24" max="24" width="0" style="58" hidden="1" customWidth="1"/>
    <col min="25" max="32" width="0" style="5" hidden="1" customWidth="1"/>
    <col min="33" max="33" width="3" style="5" hidden="1" customWidth="1"/>
    <col min="34" max="39" width="0" style="5" hidden="1" customWidth="1"/>
    <col min="40" max="16384" width="10" style="5"/>
  </cols>
  <sheetData>
    <row r="1" spans="1:39" ht="26.25" customHeight="1" x14ac:dyDescent="0.15">
      <c r="T1" s="163" t="s">
        <v>70</v>
      </c>
      <c r="U1" s="163"/>
      <c r="V1" s="84">
        <v>1</v>
      </c>
      <c r="W1" s="85" t="s">
        <v>60</v>
      </c>
      <c r="X1" s="84">
        <v>650000</v>
      </c>
      <c r="Y1" s="86"/>
      <c r="Z1" s="87">
        <v>0</v>
      </c>
      <c r="AA1" s="88"/>
      <c r="AB1" s="88"/>
      <c r="AC1" s="88"/>
      <c r="AD1" s="163" t="s">
        <v>70</v>
      </c>
      <c r="AE1" s="163"/>
      <c r="AF1" s="84">
        <v>1</v>
      </c>
      <c r="AG1" s="85" t="s">
        <v>60</v>
      </c>
      <c r="AH1" s="113">
        <v>550000</v>
      </c>
      <c r="AI1" s="86"/>
      <c r="AJ1" s="87">
        <v>0</v>
      </c>
      <c r="AK1" s="88"/>
      <c r="AL1" s="88"/>
      <c r="AM1" s="88"/>
    </row>
    <row r="2" spans="1:39" ht="26.25" customHeight="1" x14ac:dyDescent="0.15">
      <c r="N2" s="261">
        <f ca="1">TODAY()</f>
        <v>46092</v>
      </c>
      <c r="O2" s="261"/>
      <c r="P2" s="261"/>
      <c r="Q2" s="8" t="s">
        <v>56</v>
      </c>
      <c r="T2" s="9"/>
      <c r="U2" s="10" t="s">
        <v>75</v>
      </c>
      <c r="V2" s="84">
        <v>650001</v>
      </c>
      <c r="W2" s="85" t="s">
        <v>60</v>
      </c>
      <c r="X2" s="84">
        <v>1900001</v>
      </c>
      <c r="Y2" s="89"/>
      <c r="Z2" s="89">
        <v>650000</v>
      </c>
      <c r="AA2" s="90"/>
      <c r="AB2" s="90"/>
      <c r="AC2" s="90"/>
      <c r="AD2" s="164" t="s">
        <v>131</v>
      </c>
      <c r="AE2" s="165"/>
      <c r="AF2" s="113">
        <v>550001</v>
      </c>
      <c r="AG2" s="85" t="s">
        <v>60</v>
      </c>
      <c r="AH2" s="84">
        <v>1900001</v>
      </c>
      <c r="AI2" s="89"/>
      <c r="AJ2" s="114">
        <v>550000</v>
      </c>
      <c r="AK2" s="90"/>
      <c r="AL2" s="90"/>
      <c r="AM2" s="90"/>
    </row>
    <row r="3" spans="1:39" ht="26.25" customHeight="1" x14ac:dyDescent="0.15">
      <c r="B3" s="214" t="s">
        <v>132</v>
      </c>
      <c r="C3" s="214"/>
      <c r="D3" s="214"/>
      <c r="E3" s="214"/>
      <c r="F3" s="214"/>
      <c r="G3" s="214"/>
      <c r="H3" s="214"/>
      <c r="I3" s="214"/>
      <c r="J3" s="214"/>
      <c r="K3" s="214"/>
      <c r="L3" s="214"/>
      <c r="M3" s="214"/>
      <c r="N3" s="214"/>
      <c r="O3" s="214"/>
      <c r="P3" s="214"/>
      <c r="Q3" s="214"/>
      <c r="R3" s="214"/>
      <c r="U3" s="10" t="s">
        <v>81</v>
      </c>
      <c r="V3" s="84">
        <v>0</v>
      </c>
      <c r="W3" s="85" t="s">
        <v>60</v>
      </c>
      <c r="X3" s="91">
        <v>0</v>
      </c>
      <c r="Y3" s="89"/>
      <c r="Z3" s="89">
        <v>0</v>
      </c>
      <c r="AA3" s="90"/>
      <c r="AB3" s="90"/>
      <c r="AC3" s="90"/>
      <c r="AE3" s="10" t="s">
        <v>75</v>
      </c>
      <c r="AF3" s="84">
        <v>0</v>
      </c>
      <c r="AG3" s="85" t="s">
        <v>60</v>
      </c>
      <c r="AH3" s="91">
        <v>0</v>
      </c>
      <c r="AI3" s="89"/>
      <c r="AJ3" s="89">
        <v>0</v>
      </c>
      <c r="AK3" s="90"/>
      <c r="AL3" s="90"/>
      <c r="AM3" s="90"/>
    </row>
    <row r="4" spans="1:39" ht="26.25" customHeight="1" x14ac:dyDescent="0.15">
      <c r="B4" s="214" t="s">
        <v>31</v>
      </c>
      <c r="C4" s="214"/>
      <c r="D4" s="214"/>
      <c r="E4" s="214"/>
      <c r="F4" s="214"/>
      <c r="G4" s="214"/>
      <c r="H4" s="214"/>
      <c r="I4" s="214"/>
      <c r="J4" s="214"/>
      <c r="K4" s="214"/>
      <c r="L4" s="214"/>
      <c r="M4" s="214"/>
      <c r="N4" s="214"/>
      <c r="O4" s="214"/>
      <c r="P4" s="214"/>
      <c r="Q4" s="214"/>
      <c r="R4" s="214"/>
      <c r="U4" s="10"/>
      <c r="V4" s="91">
        <v>0</v>
      </c>
      <c r="W4" s="85" t="s">
        <v>60</v>
      </c>
      <c r="X4" s="84">
        <v>0</v>
      </c>
      <c r="Y4" s="92"/>
      <c r="Z4" s="89">
        <v>0</v>
      </c>
      <c r="AA4" s="90"/>
      <c r="AB4" s="90"/>
      <c r="AC4" s="90"/>
      <c r="AE4" s="10" t="s">
        <v>81</v>
      </c>
      <c r="AF4" s="91">
        <v>0</v>
      </c>
      <c r="AG4" s="85" t="s">
        <v>60</v>
      </c>
      <c r="AH4" s="84">
        <v>0</v>
      </c>
      <c r="AI4" s="92"/>
      <c r="AJ4" s="89">
        <v>0</v>
      </c>
      <c r="AK4" s="90"/>
      <c r="AL4" s="90"/>
      <c r="AM4" s="90"/>
    </row>
    <row r="5" spans="1:39" s="12" customFormat="1" ht="26.25" customHeight="1" thickBot="1" x14ac:dyDescent="0.2">
      <c r="B5" s="118"/>
      <c r="C5" s="118"/>
      <c r="D5" s="118"/>
      <c r="E5" s="118"/>
      <c r="F5" s="118"/>
      <c r="G5" s="118"/>
      <c r="H5" s="118"/>
      <c r="I5" s="118"/>
      <c r="J5" s="118"/>
      <c r="K5" s="118"/>
      <c r="L5" s="118"/>
      <c r="M5" s="118"/>
      <c r="N5" s="118"/>
      <c r="O5" s="118"/>
      <c r="P5" s="118"/>
      <c r="Q5" s="118"/>
      <c r="R5" s="119"/>
      <c r="U5" s="14"/>
      <c r="V5" s="84">
        <v>0</v>
      </c>
      <c r="W5" s="85" t="s">
        <v>60</v>
      </c>
      <c r="X5" s="84">
        <v>0</v>
      </c>
      <c r="Y5" s="89"/>
      <c r="Z5" s="92">
        <v>0</v>
      </c>
      <c r="AA5" s="93"/>
      <c r="AB5" s="93"/>
      <c r="AC5" s="93"/>
      <c r="AE5" s="14"/>
      <c r="AF5" s="84">
        <v>0</v>
      </c>
      <c r="AG5" s="85" t="s">
        <v>60</v>
      </c>
      <c r="AH5" s="84">
        <v>0</v>
      </c>
      <c r="AI5" s="89"/>
      <c r="AJ5" s="92">
        <v>0</v>
      </c>
      <c r="AK5" s="93"/>
      <c r="AL5" s="93"/>
      <c r="AM5" s="93"/>
    </row>
    <row r="6" spans="1:39" ht="26.25" customHeight="1" thickTop="1" x14ac:dyDescent="0.15">
      <c r="B6" s="15"/>
      <c r="C6" s="219" t="s">
        <v>33</v>
      </c>
      <c r="D6" s="220"/>
      <c r="E6" s="220"/>
      <c r="F6" s="220"/>
      <c r="G6" s="220"/>
      <c r="H6" s="220"/>
      <c r="I6" s="220"/>
      <c r="J6" s="220"/>
      <c r="K6" s="220"/>
      <c r="L6" s="221"/>
      <c r="M6" s="13"/>
      <c r="N6" s="225" t="s">
        <v>85</v>
      </c>
      <c r="O6" s="225"/>
      <c r="P6" s="225"/>
      <c r="Q6" s="225"/>
      <c r="R6" s="15"/>
      <c r="U6" s="10"/>
      <c r="V6" s="84">
        <v>0</v>
      </c>
      <c r="W6" s="85" t="s">
        <v>60</v>
      </c>
      <c r="X6" s="84">
        <v>0</v>
      </c>
      <c r="Y6" s="89"/>
      <c r="Z6" s="89">
        <v>0</v>
      </c>
      <c r="AA6" s="90"/>
      <c r="AB6" s="90"/>
      <c r="AC6" s="90"/>
      <c r="AE6" s="10"/>
      <c r="AF6" s="84">
        <v>0</v>
      </c>
      <c r="AG6" s="85" t="s">
        <v>60</v>
      </c>
      <c r="AH6" s="84">
        <v>0</v>
      </c>
      <c r="AI6" s="89"/>
      <c r="AJ6" s="89">
        <v>0</v>
      </c>
      <c r="AK6" s="90"/>
      <c r="AL6" s="90"/>
      <c r="AM6" s="90"/>
    </row>
    <row r="7" spans="1:39" ht="26.25" customHeight="1" x14ac:dyDescent="0.15">
      <c r="B7" s="15"/>
      <c r="C7" s="222"/>
      <c r="D7" s="223"/>
      <c r="E7" s="223"/>
      <c r="F7" s="223"/>
      <c r="G7" s="223"/>
      <c r="H7" s="223"/>
      <c r="I7" s="223"/>
      <c r="J7" s="223"/>
      <c r="K7" s="223"/>
      <c r="L7" s="224"/>
      <c r="M7" s="11"/>
      <c r="N7" s="16" t="s">
        <v>29</v>
      </c>
      <c r="O7" s="16" t="s">
        <v>23</v>
      </c>
      <c r="P7" s="16" t="s">
        <v>24</v>
      </c>
      <c r="Q7" s="16" t="s">
        <v>25</v>
      </c>
      <c r="R7" s="15"/>
      <c r="U7" s="10"/>
      <c r="V7" s="84">
        <v>0</v>
      </c>
      <c r="W7" s="85" t="s">
        <v>60</v>
      </c>
      <c r="X7" s="84">
        <v>0</v>
      </c>
      <c r="Y7" s="87"/>
      <c r="Z7" s="89">
        <v>0</v>
      </c>
      <c r="AA7" s="89">
        <v>0</v>
      </c>
      <c r="AB7" s="89">
        <v>0</v>
      </c>
      <c r="AC7" s="89">
        <v>0</v>
      </c>
      <c r="AE7" s="10"/>
      <c r="AF7" s="84">
        <v>0</v>
      </c>
      <c r="AG7" s="85" t="s">
        <v>60</v>
      </c>
      <c r="AH7" s="84">
        <v>0</v>
      </c>
      <c r="AI7" s="87"/>
      <c r="AJ7" s="89">
        <v>0</v>
      </c>
      <c r="AK7" s="89">
        <v>0</v>
      </c>
      <c r="AL7" s="89">
        <v>0</v>
      </c>
      <c r="AM7" s="89">
        <v>0</v>
      </c>
    </row>
    <row r="8" spans="1:39" ht="26.25" customHeight="1" x14ac:dyDescent="0.15">
      <c r="B8" s="15"/>
      <c r="C8" s="236" t="s">
        <v>138</v>
      </c>
      <c r="D8" s="237"/>
      <c r="E8" s="237"/>
      <c r="F8" s="237"/>
      <c r="G8" s="237"/>
      <c r="H8" s="237"/>
      <c r="I8" s="237"/>
      <c r="J8" s="237"/>
      <c r="K8" s="237"/>
      <c r="L8" s="238"/>
      <c r="M8" s="11"/>
      <c r="N8" s="16" t="s">
        <v>27</v>
      </c>
      <c r="O8" s="120">
        <v>7.8</v>
      </c>
      <c r="P8" s="120">
        <v>2.9</v>
      </c>
      <c r="Q8" s="120">
        <v>2.5</v>
      </c>
      <c r="R8" s="15"/>
      <c r="U8" s="10"/>
      <c r="V8" s="84">
        <v>1900001</v>
      </c>
      <c r="W8" s="85" t="s">
        <v>60</v>
      </c>
      <c r="X8" s="84">
        <v>3600001</v>
      </c>
      <c r="Y8" s="89"/>
      <c r="Z8" s="89">
        <v>4000</v>
      </c>
      <c r="AA8" s="89">
        <v>4000</v>
      </c>
      <c r="AB8" s="89">
        <v>0.7</v>
      </c>
      <c r="AC8" s="89">
        <v>80000</v>
      </c>
      <c r="AE8" s="10"/>
      <c r="AF8" s="84">
        <v>1900001</v>
      </c>
      <c r="AG8" s="85" t="s">
        <v>60</v>
      </c>
      <c r="AH8" s="84">
        <v>3600001</v>
      </c>
      <c r="AI8" s="89"/>
      <c r="AJ8" s="89">
        <v>4000</v>
      </c>
      <c r="AK8" s="89">
        <v>4000</v>
      </c>
      <c r="AL8" s="89">
        <v>0.7</v>
      </c>
      <c r="AM8" s="89">
        <v>80000</v>
      </c>
    </row>
    <row r="9" spans="1:39" ht="26.25" customHeight="1" x14ac:dyDescent="0.15">
      <c r="B9" s="15"/>
      <c r="C9" s="236" t="s">
        <v>139</v>
      </c>
      <c r="D9" s="237"/>
      <c r="E9" s="237"/>
      <c r="F9" s="237"/>
      <c r="G9" s="237"/>
      <c r="H9" s="237"/>
      <c r="I9" s="237"/>
      <c r="J9" s="237"/>
      <c r="K9" s="237"/>
      <c r="L9" s="238"/>
      <c r="M9" s="11"/>
      <c r="N9" s="16" t="s">
        <v>26</v>
      </c>
      <c r="O9" s="121">
        <v>42000</v>
      </c>
      <c r="P9" s="121">
        <v>15000</v>
      </c>
      <c r="Q9" s="121">
        <v>15000</v>
      </c>
      <c r="R9" s="15"/>
      <c r="U9" s="10"/>
      <c r="V9" s="84">
        <v>3600001</v>
      </c>
      <c r="W9" s="85" t="s">
        <v>60</v>
      </c>
      <c r="X9" s="84">
        <v>6600001</v>
      </c>
      <c r="Y9" s="89"/>
      <c r="Z9" s="89">
        <v>4000</v>
      </c>
      <c r="AA9" s="89">
        <v>4000</v>
      </c>
      <c r="AB9" s="89">
        <v>0.8</v>
      </c>
      <c r="AC9" s="89">
        <v>440000</v>
      </c>
      <c r="AE9" s="10"/>
      <c r="AF9" s="84">
        <v>3600001</v>
      </c>
      <c r="AG9" s="85" t="s">
        <v>60</v>
      </c>
      <c r="AH9" s="84">
        <v>6600001</v>
      </c>
      <c r="AI9" s="89"/>
      <c r="AJ9" s="89">
        <v>4000</v>
      </c>
      <c r="AK9" s="89">
        <v>4000</v>
      </c>
      <c r="AL9" s="89">
        <v>0.8</v>
      </c>
      <c r="AM9" s="89">
        <v>440000</v>
      </c>
    </row>
    <row r="10" spans="1:39" ht="26.25" customHeight="1" thickBot="1" x14ac:dyDescent="0.2">
      <c r="C10" s="249" t="s">
        <v>32</v>
      </c>
      <c r="D10" s="250"/>
      <c r="E10" s="250"/>
      <c r="F10" s="250"/>
      <c r="G10" s="250"/>
      <c r="H10" s="250"/>
      <c r="I10" s="250"/>
      <c r="J10" s="250"/>
      <c r="K10" s="250"/>
      <c r="L10" s="251"/>
      <c r="M10" s="11"/>
      <c r="N10" s="16" t="s">
        <v>28</v>
      </c>
      <c r="O10" s="121">
        <v>660000</v>
      </c>
      <c r="P10" s="121">
        <v>260000</v>
      </c>
      <c r="Q10" s="121">
        <v>170000</v>
      </c>
      <c r="U10" s="10"/>
      <c r="V10" s="84">
        <v>6600001</v>
      </c>
      <c r="W10" s="85" t="s">
        <v>60</v>
      </c>
      <c r="X10" s="84">
        <v>8500001</v>
      </c>
      <c r="Y10" s="89"/>
      <c r="Z10" s="89"/>
      <c r="AA10" s="89"/>
      <c r="AB10" s="89">
        <v>0.9</v>
      </c>
      <c r="AC10" s="89">
        <v>1100000</v>
      </c>
      <c r="AE10" s="10"/>
      <c r="AF10" s="84">
        <v>6600001</v>
      </c>
      <c r="AG10" s="85" t="s">
        <v>60</v>
      </c>
      <c r="AH10" s="84">
        <v>8500001</v>
      </c>
      <c r="AI10" s="89"/>
      <c r="AJ10" s="89"/>
      <c r="AK10" s="89"/>
      <c r="AL10" s="89">
        <v>0.9</v>
      </c>
      <c r="AM10" s="89">
        <v>1100000</v>
      </c>
    </row>
    <row r="11" spans="1:39" ht="26.25" customHeight="1" thickTop="1" x14ac:dyDescent="0.15">
      <c r="U11" s="10"/>
      <c r="V11" s="84">
        <v>8500001</v>
      </c>
      <c r="W11" s="85" t="s">
        <v>60</v>
      </c>
      <c r="X11" s="84"/>
      <c r="Y11" s="89"/>
      <c r="Z11" s="89">
        <v>1950000</v>
      </c>
      <c r="AA11" s="90"/>
      <c r="AB11" s="90"/>
      <c r="AC11" s="88"/>
      <c r="AE11" s="10"/>
      <c r="AF11" s="84">
        <v>8500001</v>
      </c>
      <c r="AG11" s="85" t="s">
        <v>60</v>
      </c>
      <c r="AH11" s="84"/>
      <c r="AI11" s="89"/>
      <c r="AJ11" s="89">
        <v>1950000</v>
      </c>
      <c r="AK11" s="90"/>
      <c r="AL11" s="90"/>
      <c r="AM11" s="88"/>
    </row>
    <row r="12" spans="1:39" ht="26.25" customHeight="1" x14ac:dyDescent="0.15">
      <c r="B12" s="11"/>
      <c r="C12" s="262" t="s">
        <v>133</v>
      </c>
      <c r="D12" s="262"/>
      <c r="E12" s="262"/>
      <c r="F12" s="262"/>
      <c r="G12" s="262"/>
      <c r="H12" s="262"/>
      <c r="I12" s="262"/>
      <c r="J12" s="262"/>
      <c r="K12" s="262"/>
      <c r="L12" s="262"/>
      <c r="M12" s="262"/>
      <c r="N12" s="262"/>
      <c r="O12" s="262"/>
      <c r="P12" s="262"/>
      <c r="Q12" s="18" t="s">
        <v>18</v>
      </c>
      <c r="R12" s="19"/>
      <c r="S12" s="20"/>
      <c r="T12" s="20"/>
      <c r="U12" s="21"/>
      <c r="V12" s="22"/>
      <c r="W12" s="23"/>
      <c r="X12" s="24"/>
      <c r="Y12" s="25"/>
      <c r="Z12" s="25"/>
    </row>
    <row r="13" spans="1:39" ht="18.75" customHeight="1" x14ac:dyDescent="0.15">
      <c r="A13" s="11"/>
      <c r="B13" s="11"/>
      <c r="C13" s="230" t="s">
        <v>19</v>
      </c>
      <c r="D13" s="217" t="s">
        <v>49</v>
      </c>
      <c r="E13" s="198" t="s">
        <v>50</v>
      </c>
      <c r="F13" s="252" t="s">
        <v>52</v>
      </c>
      <c r="G13" s="215" t="s">
        <v>38</v>
      </c>
      <c r="H13" s="26"/>
      <c r="I13" s="198" t="s">
        <v>39</v>
      </c>
      <c r="J13" s="210" t="s">
        <v>40</v>
      </c>
      <c r="K13" s="202"/>
      <c r="L13" s="215" t="s">
        <v>41</v>
      </c>
      <c r="M13" s="195" t="s">
        <v>16</v>
      </c>
      <c r="N13" s="226" t="s">
        <v>15</v>
      </c>
      <c r="O13" s="195" t="s">
        <v>44</v>
      </c>
      <c r="P13" s="258" t="s">
        <v>53</v>
      </c>
      <c r="Q13" s="217" t="s">
        <v>36</v>
      </c>
      <c r="R13" s="11"/>
      <c r="S13" s="16" t="s">
        <v>46</v>
      </c>
      <c r="T13" s="110" t="s">
        <v>46</v>
      </c>
      <c r="U13" s="245" t="s">
        <v>65</v>
      </c>
      <c r="V13" s="245"/>
      <c r="W13" s="245"/>
      <c r="X13" s="245"/>
      <c r="Y13" s="245"/>
      <c r="Z13" s="246"/>
    </row>
    <row r="14" spans="1:39" ht="22.5" customHeight="1" x14ac:dyDescent="0.15">
      <c r="A14" s="11"/>
      <c r="B14" s="11"/>
      <c r="C14" s="231"/>
      <c r="D14" s="218"/>
      <c r="E14" s="199"/>
      <c r="F14" s="253"/>
      <c r="G14" s="215"/>
      <c r="H14" s="254" t="s">
        <v>42</v>
      </c>
      <c r="I14" s="199"/>
      <c r="J14" s="256" t="s">
        <v>134</v>
      </c>
      <c r="K14" s="254" t="s">
        <v>135</v>
      </c>
      <c r="L14" s="215"/>
      <c r="M14" s="196"/>
      <c r="N14" s="227"/>
      <c r="O14" s="196"/>
      <c r="P14" s="259"/>
      <c r="Q14" s="218"/>
      <c r="R14" s="11"/>
      <c r="S14" s="254" t="s">
        <v>47</v>
      </c>
      <c r="T14" s="217" t="s">
        <v>130</v>
      </c>
      <c r="U14" s="247"/>
      <c r="V14" s="247"/>
      <c r="W14" s="247"/>
      <c r="X14" s="247"/>
      <c r="Y14" s="247"/>
      <c r="Z14" s="248"/>
    </row>
    <row r="15" spans="1:39" ht="15" customHeight="1" x14ac:dyDescent="0.15">
      <c r="A15" s="11"/>
      <c r="B15" s="11"/>
      <c r="C15" s="232"/>
      <c r="D15" s="27" t="s">
        <v>48</v>
      </c>
      <c r="E15" s="28" t="s">
        <v>48</v>
      </c>
      <c r="F15" s="29" t="s">
        <v>48</v>
      </c>
      <c r="G15" s="216"/>
      <c r="H15" s="255"/>
      <c r="I15" s="200"/>
      <c r="J15" s="257"/>
      <c r="K15" s="255"/>
      <c r="L15" s="216"/>
      <c r="M15" s="197"/>
      <c r="N15" s="228"/>
      <c r="O15" s="197"/>
      <c r="P15" s="260"/>
      <c r="Q15" s="235"/>
      <c r="R15" s="11"/>
      <c r="S15" s="255"/>
      <c r="T15" s="269"/>
      <c r="U15" s="30" t="s">
        <v>76</v>
      </c>
      <c r="V15" s="30"/>
      <c r="W15" s="31"/>
      <c r="X15" s="32"/>
      <c r="Y15" s="30"/>
      <c r="Z15" s="30"/>
    </row>
    <row r="16" spans="1:39" ht="26.25" customHeight="1" x14ac:dyDescent="0.15">
      <c r="A16" s="11"/>
      <c r="B16" s="11"/>
      <c r="C16" s="33" t="s">
        <v>14</v>
      </c>
      <c r="D16" s="2"/>
      <c r="E16" s="3"/>
      <c r="F16" s="4"/>
      <c r="G16" s="34"/>
      <c r="H16" s="35"/>
      <c r="I16" s="78">
        <f>IF(AND(0&lt;=G16,G16&lt;X$1),Z$1,IF(AND(V$2&lt;=G16,G16&lt;X$2),G16-Z$2,IF(AND(V$3&lt;=G16,G16&lt;X$3),Z$3,IF(AND(V$4&lt;=G16,G16&lt;X$4),Z$4,IF(AND(V$5&lt;=G16,G16&lt;X$5),Z$5,IF(AND(V$6&lt;=G16,G16&lt;X$6),Z$6,IF(AND(V$7&lt;=G16,G16&lt;X$7),((ROUNDDOWN(G16/Z$7,0))*AA$7*AB$7)+AC$7,IF(AND(V$8&lt;=G16,G16&lt;X$8),((ROUNDDOWN(G16/Z$8,0))*AA$8*AB$8)-AC$8,IF(AND(V$9&lt;=G16,G16&lt;X$9),((ROUNDDOWN(G16/Z$9,0))*AA$9*AB$9)-AC$9,IF(AND(V$10&lt;=G16,G16&lt;X$10),(G16*AB$10)-AC$10,IF(V$11&lt;=G16,(G16-Z$11),0)))))))))))</f>
        <v>0</v>
      </c>
      <c r="J16" s="36"/>
      <c r="K16" s="36"/>
      <c r="L16" s="76">
        <f>IF(J16="",IF(AND(K16&lt;=Z$22),0,IF(AND(Z$22&lt;K16,K16&lt;X$22),K16-Z$22,IF(AND(V$23&lt;=K16,K16&lt;X$23),K16*Y$23-Z$23,IF(AND(V$24&lt;=K16,K16&lt;X$24),K16*Y$24-Z$24,IF(AND(V$25&lt;=K16,K16&lt;X$25),K16*Y$25-Z$25,IF(V$26&lt;=K16,K16-Z$26,0)))))),IF(AND(J16&lt;=Z$17),0,IF(AND(Z$17&lt;J16,J16&lt;V$18),J16-Z$17,IF(AND(V$18&lt;=J16,J16&lt;X$18),J16*Y$18-Z$18,IF(AND(V$19&lt;=J16,J16&lt;X$19),J16*Y$19-Z$19,IF(AND(V$20&lt;=J16,J16&lt;X$20),J16*Y$20-Z$20,IF(V$21&lt;=J16,J16-Z$21,0)))))))</f>
        <v>0</v>
      </c>
      <c r="M16" s="77">
        <f t="shared" ref="M16:M21" si="0">IF((IF(I16&gt;AC$21,AC$21,I16))+(IF(L16&gt;AC$21,AC$21,L16))-AC$21&gt;0,(IF(I16&gt;AC$21,AC$21,I16))+(IF(L16&gt;AC$21,AC$21,L16))-AC$21,0)</f>
        <v>0</v>
      </c>
      <c r="N16" s="37"/>
      <c r="O16" s="38"/>
      <c r="P16" s="39">
        <f t="shared" ref="P16:P21" si="1">IF(IF(F16="該当する",(I16-M16)*AC$24+L16+N16,I16-M16+L16+N16)&gt;0,IF(F16="該当する",(I16-M16)*AC$24+L16+N16,I16-M16+L16+N16),0)</f>
        <v>0</v>
      </c>
      <c r="Q16" s="40">
        <f>IF(IF(F16="該当する",IF(S16&gt;M16,S16-M16,0)*0.3,IF(S16&gt;M16,S16-M16,0))+IF(K16&gt;0,IF(L16&gt;AC$18,L16-AC$18,0),L16)+N16+O16&gt;0,IF(F16="該当する",IF(S16&gt;M16,S16-M16,0)*AC$24,IF(S16&gt;M16,S16-M16,0))+IF(K16&gt;0,IF(L16&gt;AC$18,L16-AC$18,0),L16)+N16+O16,0)</f>
        <v>0</v>
      </c>
      <c r="R16" s="32"/>
      <c r="S16" s="17">
        <f>IF(AND(0&lt;=(G16-H16),(G16-H16)&lt;V$2),0,IF(AND(V$2&lt;=(G16-H16),(G16-H16)&lt;X$2),(G16-H16)-Z$2,IF(AND(V$3&lt;=(G16-H16),(G16-H16)&lt;X$3),Z$3,IF(AND(V$4&lt;=(G16-H16),(G16-H16)&lt;X$4),Z$4,IF(AND(V$5&lt;=(G16-H16),(G16-H16)&lt;X$5),Z$5,IF(AND(V$6&lt;=(G16-H16),(G16-H16)&lt;X$6),Z$6,IF(AND(V$7&lt;=(G16-H16),(G16-H16)&lt;X$7),((ROUNDDOWN((G16-H16)/Z$7,0))*AA$7*AB$7)+AC$7,IF(AND(V$8&lt;=(G16-H16),(G16-H16)&lt;X$8),((ROUNDDOWN((G16-H16)/Z$8,0))*AA$8*AB$8)-AC$8,IF(AND(V$9&lt;=(G16-H16),(G16-H16)&lt;X$9),((ROUNDDOWN((G16-H16)/Z$9,0))*AA$9*AB$9)-AC$9,IF(AND(V$10&lt;=(G16-H16),(G16-H16)&lt;X$10),((G16-H16)*AB$10)-AC$10,IF(V$11&lt;=(G16-H16),((G16-H16)-Z$11),0)))))))))))</f>
        <v>0</v>
      </c>
      <c r="T16" s="112">
        <f>IF(AND(0&lt;=(G16-H16),(G16-H16)&lt;AF$2),0,IF(AND(AF$2&lt;=(G16-H16),(G16-H16)&lt;AH$2),(G16-H16)-AJ$2,IF(AND(AF$3&lt;=(G16-H16),(G16-H16)&lt;AH$3),AJ$3,IF(AND(AF$4&lt;=(G16-H16),(G16-H16)&lt;AH$4),AJ$4,IF(AND(AF$5&lt;=(G16-H16),(G16-H16)&lt;AH$5),AJ$5,IF(AND(AF$6&lt;=(G16-H16),(G16-H16)&lt;AH$6),AJ$6,IF(AND(AF$7&lt;=(G16-H16),(G16-H16)&lt;AH$7),((ROUNDDOWN((G16-H16)/AJ$7,0))*AK$7*AL$7)+AM$7,IF(AND(AF$8&lt;=(G16-H16),(G16-H16)&lt;AH$8),((ROUNDDOWN((G16-H16)/AJ$8,0))*AK$8*AL$8)-AM$8,IF(AND(AF$9&lt;=(G16-H16),(G16-H16)&lt;AH$9),((ROUNDDOWN((G16-H16)/AJ$9,0))*AK$9*AL$9)-AM$9,IF(AND(AF$10&lt;=(G16-H16),(G16-H16)&lt;AH$10),((G16-H16)*AL$10)-AM$10,IF(AF$11&lt;=(G16-H16),((G16-H16)-AJ$11),0)))))))))))</f>
        <v>0</v>
      </c>
      <c r="U16" s="111" t="s">
        <v>64</v>
      </c>
      <c r="V16" s="239" t="s">
        <v>63</v>
      </c>
      <c r="W16" s="240"/>
      <c r="X16" s="241"/>
      <c r="Y16" s="41" t="s">
        <v>62</v>
      </c>
      <c r="Z16" s="41" t="s">
        <v>61</v>
      </c>
    </row>
    <row r="17" spans="1:29" ht="26.25" customHeight="1" x14ac:dyDescent="0.15">
      <c r="A17" s="11"/>
      <c r="B17" s="11"/>
      <c r="C17" s="16" t="str">
        <f>IF(D16="加入しない","１人目","２人目")</f>
        <v>２人目</v>
      </c>
      <c r="D17" s="42"/>
      <c r="E17" s="3"/>
      <c r="F17" s="1"/>
      <c r="G17" s="43"/>
      <c r="H17" s="35"/>
      <c r="I17" s="78">
        <f>IF(AND(0&lt;=G17,G17&lt;X$1),Z$1,IF(AND(V$2&lt;=G17,G17&lt;X$2),G17-Z$2,IF(AND(V$3&lt;=G17,G17&lt;X$3),Z$3,IF(AND(V$4&lt;=G17,G17&lt;X$4),Z$4,IF(AND(V$5&lt;=G17,G17&lt;X$5),Z$5,IF(AND(V$6&lt;=G17,G17&lt;X$6),Z$6,IF(AND(V$7&lt;=G17,G17&lt;X$7),((ROUNDDOWN(G17/Z$7,0))*AA$7*AB$7)+AC$7,IF(AND(V$8&lt;=G17,G17&lt;X$8),((ROUNDDOWN(G17/Z$8,0))*AA$8*AB$8)-AC$8,IF(AND(V$9&lt;=G17,G17&lt;X$9),((ROUNDDOWN(G17/Z$9,0))*AA$9*AB$9)-AC$9,IF(AND(V$10&lt;=G17,G17&lt;X$10),(G17*AB$10)-AC$10,IF(V$11&lt;=G17,(G17-Z$11),0)))))))))))</f>
        <v>0</v>
      </c>
      <c r="J17" s="44"/>
      <c r="K17" s="36"/>
      <c r="L17" s="76">
        <f t="shared" ref="L17:L18" si="2">IF(J17="",IF(AND(K17&lt;=Z$22),0,IF(AND(Z$22&lt;K17,K17&lt;X$22),K17-Z$22,IF(AND(V$23&lt;=K17,K17&lt;X$23),K17*Y$23-Z$23,IF(AND(V$24&lt;=K17,K17&lt;X$24),K17*Y$24-Z$24,IF(AND(V$25&lt;=K17,K17&lt;X$25),K17*Y$25-Z$25,IF(V$26&lt;=K17,K17-Z$26,0)))))),IF(AND(J17&lt;=Z$17),0,IF(AND(Z$17&lt;J17,J17&lt;V$18),J17-Z$17,IF(AND(V$18&lt;=J17,J17&lt;X$18),J17*Y$18-Z$18,IF(AND(V$19&lt;=J17,J17&lt;X$19),J17*Y$19-Z$19,IF(AND(V$20&lt;=J17,J17&lt;X$20),J17*Y$20-Z$20,IF(V$21&lt;=J17,J17-Z$21,0)))))))</f>
        <v>0</v>
      </c>
      <c r="M17" s="77">
        <f t="shared" si="0"/>
        <v>0</v>
      </c>
      <c r="N17" s="45"/>
      <c r="O17" s="46"/>
      <c r="P17" s="39">
        <f t="shared" si="1"/>
        <v>0</v>
      </c>
      <c r="Q17" s="40">
        <f>IF(IF(F17="該当する",IF(S17&gt;M17,S17-M17,0)*0.3,IF(S17&gt;M17,S17-M17,0))+IF(K17&gt;0,IF(L17&gt;AC$18,L17-AC$18,0),L17)+N17+O17&gt;0,IF(F17="該当する",IF(S17&gt;M17,S17-M17,0)*AC$24,IF(S17&gt;M17,S17-M17,0))+IF(K17&gt;0,IF(L17&gt;AC$18,L17-AC$18,0),L17)+N17+O17,0)</f>
        <v>0</v>
      </c>
      <c r="R17" s="32"/>
      <c r="S17" s="17">
        <f>IF(AND(0&lt;=(G17-H17),(G17-H17)&lt;V$2),0,IF(AND(V$2&lt;=(G17-H17),(G17-H17)&lt;X$2),(G17-H17)-Z$2,IF(AND(V$3&lt;=(G17-H17),(G17-H17)&lt;X$3),Z$3,IF(AND(V$4&lt;=(G17-H17),(G17-H17)&lt;X$4),Z$4,IF(AND(V$5&lt;=(G17-H17),(G17-H17)&lt;X$5),Z$5,IF(AND(V$6&lt;=(G17-H17),(G17-H17)&lt;X$6),Z$6,IF(AND(V$7&lt;=(G17-H17),(G17-H17)&lt;X$7),((ROUNDDOWN((G17-H17)/Z$7,0))*AA$7*AB$7)+AC$7,IF(AND(V$8&lt;=(G17-H17),(G17-H17)&lt;X$8),((ROUNDDOWN((G17-H17)/Z$8,0))*AA$8*AB$8)-AC$8,IF(AND(V$9&lt;=(G17-H17),(G17-H17)&lt;X$9),((ROUNDDOWN((G17-H17)/Z$9,0))*AA$9*AB$9)-AC$9,IF(AND(V$10&lt;=(G17-H17),(G17-H17)&lt;X$10),((G17-H17)*AB$10)-AC$10,IF(V$11&lt;=(G17-H17),((G17-H17)-Z$11),0)))))))))))</f>
        <v>0</v>
      </c>
      <c r="T17" s="112">
        <f t="shared" ref="T17:T21" si="3">IF(AND(0&lt;=(G17-H17),(G17-H17)&lt;AF$2),0,IF(AND(AF$2&lt;=(G17-H17),(G17-H17)&lt;AH$2),(G17-H17)-AJ$2,IF(AND(AF$3&lt;=(G17-H17),(G17-H17)&lt;AH$3),AJ$3,IF(AND(AF$4&lt;=(G17-H17),(G17-H17)&lt;AH$4),AJ$4,IF(AND(AF$5&lt;=(G17-H17),(G17-H17)&lt;AH$5),AJ$5,IF(AND(AF$6&lt;=(G17-H17),(G17-H17)&lt;AH$6),AJ$6,IF(AND(AF$7&lt;=(G17-H17),(G17-H17)&lt;AH$7),((ROUNDDOWN((G17-H17)/AJ$7,0))*AK$7*AL$7)+AM$7,IF(AND(AF$8&lt;=(G17-H17),(G17-H17)&lt;AH$8),((ROUNDDOWN((G17-H17)/AJ$8,0))*AK$8*AL$8)-AM$8,IF(AND(AF$9&lt;=(G17-H17),(G17-H17)&lt;AH$9),((ROUNDDOWN((G17-H17)/AJ$9,0))*AK$9*AL$9)-AM$9,IF(AND(AF$10&lt;=(G17-H17),(G17-H17)&lt;AH$10),((G17-H17)*AL$10)-AM$10,IF(AF$11&lt;=(G17-H17),((G17-H17)-AJ$11),0)))))))))))</f>
        <v>0</v>
      </c>
      <c r="U17" s="242" t="s">
        <v>83</v>
      </c>
      <c r="V17" s="47"/>
      <c r="W17" s="6" t="s">
        <v>60</v>
      </c>
      <c r="X17" s="47">
        <v>1300000</v>
      </c>
      <c r="Y17" s="48">
        <v>1</v>
      </c>
      <c r="Z17" s="47">
        <v>600000</v>
      </c>
      <c r="AB17" s="263" t="s">
        <v>82</v>
      </c>
      <c r="AC17" s="264"/>
    </row>
    <row r="18" spans="1:29" ht="26.25" customHeight="1" x14ac:dyDescent="0.15">
      <c r="A18" s="11"/>
      <c r="B18" s="11"/>
      <c r="C18" s="16" t="str">
        <f>IF(D16="加入しない","２人目","３人目")</f>
        <v>３人目</v>
      </c>
      <c r="D18" s="42"/>
      <c r="E18" s="3"/>
      <c r="F18" s="1"/>
      <c r="G18" s="34"/>
      <c r="H18" s="35"/>
      <c r="I18" s="78">
        <f t="shared" ref="I18:I20" si="4">IF(AND(0&lt;=G18,G18&lt;X$1),Z$1,IF(AND(V$2&lt;=G18,G18&lt;X$2),G18-Z$2,IF(AND(V$3&lt;=G18,G18&lt;X$3),Z$3,IF(AND(V$4&lt;=G18,G18&lt;X$4),Z$4,IF(AND(V$5&lt;=G18,G18&lt;X$5),Z$5,IF(AND(V$6&lt;=G18,G18&lt;X$6),Z$6,IF(AND(V$7&lt;=G18,G18&lt;X$7),((ROUNDDOWN(G18/Z$7,0))*AA$7*AB$7)+AC$7,IF(AND(V$8&lt;=G18,G18&lt;X$8),((ROUNDDOWN(G18/Z$8,0))*AA$8*AB$8)-AC$8,IF(AND(V$9&lt;=G18,G18&lt;X$9),((ROUNDDOWN(G18/Z$9,0))*AA$9*AB$9)-AC$9,IF(AND(V$10&lt;=G18,G18&lt;X$10),(G18*AB$10)-AC$10,IF(V$11&lt;=G18,(G18-Z$11),0)))))))))))</f>
        <v>0</v>
      </c>
      <c r="J18" s="44"/>
      <c r="K18" s="36"/>
      <c r="L18" s="76">
        <f t="shared" si="2"/>
        <v>0</v>
      </c>
      <c r="M18" s="77">
        <f t="shared" si="0"/>
        <v>0</v>
      </c>
      <c r="N18" s="45"/>
      <c r="O18" s="46"/>
      <c r="P18" s="39">
        <f t="shared" si="1"/>
        <v>0</v>
      </c>
      <c r="Q18" s="40">
        <f t="shared" ref="Q18:Q21" si="5">IF(IF(F18="該当する",IF(S18&gt;M18,S18-M18,0)*0.3,IF(S18&gt;M18,S18-M18,0))+IF(K18&gt;0,IF(L18&gt;AC$18,L18-AC$18,0),L18)+N18+O18&gt;0,IF(F18="該当する",IF(S18&gt;M18,S18-M18,0)*AC$24,IF(S18&gt;M18,S18-M18,0))+IF(K18&gt;0,IF(L18&gt;AC$18,L18-AC$18,0),L18)+N18+O18,0)</f>
        <v>0</v>
      </c>
      <c r="R18" s="32"/>
      <c r="S18" s="17">
        <f>IF(AND(0&lt;=(G18-H18),(G18-H18)&lt;V$2),0,IF(AND(V$2&lt;=(G18-H18),(G18-H18)&lt;X$2),(G18-H18)-Z$2,IF(AND(V$3&lt;=(G18-H18),(G18-H18)&lt;X$3),Z$3,IF(AND(V$4&lt;=(G18-H18),(G18-H18)&lt;X$4),Z$4,IF(AND(V$5&lt;=(G18-H18),(G18-H18)&lt;X$5),Z$5,IF(AND(V$6&lt;=(G18-H18),(G18-H18)&lt;X$6),Z$6,IF(AND(V$7&lt;=(G18-H18),(G18-H18)&lt;X$7),((ROUNDDOWN((G18-H18)/Z$7,0))*AA$7*AB$7)+AC$7,IF(AND(V$8&lt;=(G18-H18),(G18-H18)&lt;X$8),((ROUNDDOWN((G18-H18)/Z$8,0))*AA$8*AB$8)-AC$8,IF(AND(V$9&lt;=(G18-H18),(G18-H18)&lt;X$9),((ROUNDDOWN((G18-H18)/Z$9,0))*AA$9*AB$9)-AC$9,IF(AND(V$10&lt;=(G18-H18),(G18-H18)&lt;X$10),((G18-H18)*AB$10)-AC$10,IF(V$11&lt;=(G18-H18),((G18-H18)-Z$11),0)))))))))))</f>
        <v>0</v>
      </c>
      <c r="T18" s="112">
        <f t="shared" si="3"/>
        <v>0</v>
      </c>
      <c r="U18" s="243"/>
      <c r="V18" s="47">
        <v>1300000</v>
      </c>
      <c r="W18" s="6" t="s">
        <v>60</v>
      </c>
      <c r="X18" s="47">
        <v>4100000</v>
      </c>
      <c r="Y18" s="48">
        <v>0.75</v>
      </c>
      <c r="Z18" s="47">
        <v>275000</v>
      </c>
      <c r="AB18" s="5" t="s">
        <v>73</v>
      </c>
      <c r="AC18" s="49">
        <v>150000</v>
      </c>
    </row>
    <row r="19" spans="1:29" ht="26.25" customHeight="1" x14ac:dyDescent="0.15">
      <c r="A19" s="11"/>
      <c r="B19" s="11"/>
      <c r="C19" s="16" t="str">
        <f>IF(D16="加入しない","３人目","４人目")</f>
        <v>４人目</v>
      </c>
      <c r="D19" s="42"/>
      <c r="E19" s="3"/>
      <c r="F19" s="1"/>
      <c r="G19" s="34"/>
      <c r="H19" s="35"/>
      <c r="I19" s="78">
        <f t="shared" si="4"/>
        <v>0</v>
      </c>
      <c r="J19" s="36"/>
      <c r="K19" s="36"/>
      <c r="L19" s="76">
        <f>IF(J19="",IF(AND(K19&lt;=Z$22),0,IF(AND(Z$22&lt;K19,K19&lt;X$22),K19-Z$22,IF(AND(V$23&lt;=K19,K19&lt;X$23),K19*Y$23-Z$23,IF(AND(V$24&lt;=K19,K19&lt;X$24),K19*Y$24-Z$24,IF(AND(V$25&lt;=K19,K19&lt;X$25),K19*Y$25-Z$25,IF(V$26&lt;=K19,K19-Z$26,0)))))),IF(AND(J19&lt;=Z$17),0,IF(AND(Z$17&lt;J19,J19&lt;V$18),J19-Z$17,IF(AND(V$18&lt;=J19,J19&lt;X$18),J19*Y$18-Z$18,IF(AND(V$19&lt;=J19,J19&lt;X$19),J19*Y$19-Z$19,IF(AND(V$20&lt;=J19,J19&lt;X$20),J19*Y$20-Z$20,IF(V$21&lt;=J19,J19-Z$21,0)))))))</f>
        <v>0</v>
      </c>
      <c r="M19" s="77">
        <f t="shared" si="0"/>
        <v>0</v>
      </c>
      <c r="N19" s="45"/>
      <c r="O19" s="46"/>
      <c r="P19" s="39">
        <f t="shared" si="1"/>
        <v>0</v>
      </c>
      <c r="Q19" s="40">
        <f t="shared" si="5"/>
        <v>0</v>
      </c>
      <c r="R19" s="32"/>
      <c r="S19" s="17">
        <f t="shared" ref="S19:S21" si="6">IF(AND(0&lt;=(G19-H19),(G19-H19)&lt;V$2),0,IF(AND(V$2&lt;=(G19-H19),(G19-H19)&lt;X$2),(G19-H19)-Z$2,IF(AND(V$3&lt;=(G19-H19),(G19-H19)&lt;X$3),Z$3,IF(AND(V$4&lt;=(G19-H19),(G19-H19)&lt;X$4),Z$4,IF(AND(V$5&lt;=(G19-H19),(G19-H19)&lt;X$5),Z$5,IF(AND(V$6&lt;=(G19-H19),(G19-H19)&lt;X$6),Z$6,IF(AND(V$7&lt;=(G19-H19),(G19-H19)&lt;X$7),((ROUNDDOWN((G19-H19)/Z$7,0))*AA$7*AB$7)+AC$7,IF(AND(V$8&lt;=(G19-H19),(G19-H19)&lt;X$8),((ROUNDDOWN((G19-H19)/Z$8,0))*AA$8*AB$8)-AC$8,IF(AND(V$9&lt;=(G19-H19),(G19-H19)&lt;X$9),((ROUNDDOWN((G19-H19)/Z$9,0))*AA$9*AB$9)-AC$9,IF(AND(V$10&lt;=(G19-H19),(G19-H19)&lt;X$10),((G19-H19)*AB$10)-AC$10,IF(V$11&lt;=(G19-H19),((G19-H19)-Z$11),0)))))))))))</f>
        <v>0</v>
      </c>
      <c r="T19" s="112">
        <f t="shared" si="3"/>
        <v>0</v>
      </c>
      <c r="U19" s="243"/>
      <c r="V19" s="47">
        <v>4100000</v>
      </c>
      <c r="W19" s="6" t="s">
        <v>60</v>
      </c>
      <c r="X19" s="47">
        <v>7700000</v>
      </c>
      <c r="Y19" s="48">
        <v>0.85</v>
      </c>
      <c r="Z19" s="47">
        <v>685000</v>
      </c>
    </row>
    <row r="20" spans="1:29" ht="26.25" customHeight="1" x14ac:dyDescent="0.15">
      <c r="A20" s="11"/>
      <c r="B20" s="11"/>
      <c r="C20" s="16" t="str">
        <f>IF(D16="加入しない","４人目","５人目")</f>
        <v>５人目</v>
      </c>
      <c r="D20" s="42"/>
      <c r="E20" s="3"/>
      <c r="F20" s="1"/>
      <c r="G20" s="34"/>
      <c r="H20" s="35"/>
      <c r="I20" s="78">
        <f t="shared" si="4"/>
        <v>0</v>
      </c>
      <c r="J20" s="36"/>
      <c r="K20" s="36"/>
      <c r="L20" s="76">
        <f t="shared" ref="L20:L21" si="7">IF(J20="",IF(AND(K20&lt;=Z$22),0,IF(AND(Z$22&lt;K20,K20&lt;X$22),K20-Z$22,IF(AND(V$23&lt;=K20,K20&lt;X$23),K20*Y$23-Z$23,IF(AND(V$24&lt;=K20,K20&lt;X$24),K20*Y$24-Z$24,IF(AND(V$25&lt;=K20,K20&lt;X$25),K20*Y$25-Z$25,IF(V$26&lt;=K20,K20-Z$26,0)))))),IF(AND(J20&lt;=Z$17),0,IF(AND(Z$17&lt;J20,J20&lt;V$18),J20-Z$17,IF(AND(V$18&lt;=J20,J20&lt;X$18),J20*Y$18-Z$18,IF(AND(V$19&lt;=J20,J20&lt;X$19),J20*Y$19-Z$19,IF(AND(V$20&lt;=J20,J20&lt;X$20),J20*Y$20-Z$20,IF(V$21&lt;=J20,J20-Z$21,0)))))))</f>
        <v>0</v>
      </c>
      <c r="M20" s="77">
        <f t="shared" si="0"/>
        <v>0</v>
      </c>
      <c r="N20" s="45"/>
      <c r="O20" s="46"/>
      <c r="P20" s="39">
        <f t="shared" si="1"/>
        <v>0</v>
      </c>
      <c r="Q20" s="40">
        <f t="shared" si="5"/>
        <v>0</v>
      </c>
      <c r="R20" s="32"/>
      <c r="S20" s="17">
        <f t="shared" si="6"/>
        <v>0</v>
      </c>
      <c r="T20" s="112">
        <f t="shared" si="3"/>
        <v>0</v>
      </c>
      <c r="U20" s="243"/>
      <c r="V20" s="47">
        <v>7700000</v>
      </c>
      <c r="W20" s="6" t="s">
        <v>60</v>
      </c>
      <c r="X20" s="47">
        <v>10000000</v>
      </c>
      <c r="Y20" s="48">
        <v>0.95</v>
      </c>
      <c r="Z20" s="47">
        <v>1455000</v>
      </c>
      <c r="AB20" s="263" t="s">
        <v>72</v>
      </c>
      <c r="AC20" s="264"/>
    </row>
    <row r="21" spans="1:29" ht="26.25" customHeight="1" thickBot="1" x14ac:dyDescent="0.2">
      <c r="A21" s="11"/>
      <c r="B21" s="11"/>
      <c r="C21" s="16" t="str">
        <f>IF(D16="加入しない","５人目","６人目")</f>
        <v>６人目</v>
      </c>
      <c r="D21" s="42"/>
      <c r="E21" s="3"/>
      <c r="F21" s="1"/>
      <c r="G21" s="34"/>
      <c r="H21" s="35"/>
      <c r="I21" s="78">
        <f>IF(AND(0&lt;=G21,G21&lt;X$1),Z$1,IF(AND(V$2&lt;=G21,G21&lt;X$2),G21-Z$2,IF(AND(V$3&lt;=G21,G21&lt;X$3),Z$3,IF(AND(V$4&lt;=G21,G21&lt;X$4),Z$4,IF(AND(V$5&lt;=G21,G21&lt;X$5),Z$5,IF(AND(V$6&lt;=G21,G21&lt;X$6),Z$6,IF(AND(V$7&lt;=G21,G21&lt;X$7),((ROUNDDOWN(G21/Z$7,0))*AA$7*AB$7)+AC$7,IF(AND(V$8&lt;=G21,G21&lt;X$8),((ROUNDDOWN(G21/Z$8,0))*AA$8*AB$8)-AC$8,IF(AND(V$9&lt;=G21,G21&lt;X$9),((ROUNDDOWN(G21/Z$9,0))*AA$9*AB$9)-AC$9,IF(AND(V$10&lt;=G21,G21&lt;X$10),(G21*AB$10)-AC$10,IF(V$11&lt;=G21,(G21-Z$11),0)))))))))))</f>
        <v>0</v>
      </c>
      <c r="J21" s="36"/>
      <c r="K21" s="50"/>
      <c r="L21" s="76">
        <f t="shared" si="7"/>
        <v>0</v>
      </c>
      <c r="M21" s="77">
        <f t="shared" si="0"/>
        <v>0</v>
      </c>
      <c r="N21" s="45"/>
      <c r="O21" s="46"/>
      <c r="P21" s="39">
        <f t="shared" si="1"/>
        <v>0</v>
      </c>
      <c r="Q21" s="40">
        <f t="shared" si="5"/>
        <v>0</v>
      </c>
      <c r="R21" s="32"/>
      <c r="S21" s="17">
        <f t="shared" si="6"/>
        <v>0</v>
      </c>
      <c r="T21" s="112">
        <f t="shared" si="3"/>
        <v>0</v>
      </c>
      <c r="U21" s="244"/>
      <c r="V21" s="47">
        <v>10000000</v>
      </c>
      <c r="W21" s="6" t="s">
        <v>60</v>
      </c>
      <c r="X21" s="47"/>
      <c r="Y21" s="94">
        <v>1</v>
      </c>
      <c r="Z21" s="47">
        <v>1955000</v>
      </c>
      <c r="AB21" s="5" t="s">
        <v>73</v>
      </c>
      <c r="AC21" s="49">
        <v>100000</v>
      </c>
    </row>
    <row r="22" spans="1:29" ht="26.25" customHeight="1" thickBot="1" x14ac:dyDescent="0.2">
      <c r="A22" s="11"/>
      <c r="B22" s="11"/>
      <c r="C22" s="11"/>
      <c r="D22" s="51"/>
      <c r="E22" s="51"/>
      <c r="F22" s="51"/>
      <c r="G22" s="51"/>
      <c r="H22" s="51"/>
      <c r="I22" s="51"/>
      <c r="J22" s="51"/>
      <c r="K22" s="51"/>
      <c r="L22" s="51"/>
      <c r="M22" s="51"/>
      <c r="N22" s="51"/>
      <c r="O22" s="52" t="s">
        <v>34</v>
      </c>
      <c r="P22" s="53">
        <f>SUM(P16:P21)</f>
        <v>0</v>
      </c>
      <c r="Q22" s="54">
        <f>SUM(Q16:R21)</f>
        <v>0</v>
      </c>
      <c r="R22" s="55"/>
      <c r="S22" s="55"/>
      <c r="T22" s="55"/>
      <c r="U22" s="265" t="s">
        <v>84</v>
      </c>
      <c r="V22" s="47"/>
      <c r="W22" s="6" t="s">
        <v>60</v>
      </c>
      <c r="X22" s="47">
        <v>3300000</v>
      </c>
      <c r="Y22" s="48">
        <v>1</v>
      </c>
      <c r="Z22" s="47">
        <v>1100000</v>
      </c>
    </row>
    <row r="23" spans="1:29" ht="18.75" customHeight="1" x14ac:dyDescent="0.15">
      <c r="A23" s="11"/>
      <c r="B23" s="11"/>
      <c r="C23" s="194" t="s">
        <v>54</v>
      </c>
      <c r="D23" s="194"/>
      <c r="E23" s="194"/>
      <c r="F23" s="194"/>
      <c r="G23" s="194"/>
      <c r="H23" s="194"/>
      <c r="I23" s="194"/>
      <c r="J23" s="194"/>
      <c r="K23" s="194"/>
      <c r="L23" s="194"/>
      <c r="M23" s="194"/>
      <c r="N23" s="194"/>
      <c r="O23" s="194"/>
      <c r="P23" s="194"/>
      <c r="Q23" s="194"/>
      <c r="R23" s="55"/>
      <c r="S23" s="55"/>
      <c r="T23" s="55"/>
      <c r="U23" s="266"/>
      <c r="V23" s="47">
        <v>3300000</v>
      </c>
      <c r="W23" s="6" t="s">
        <v>60</v>
      </c>
      <c r="X23" s="47">
        <v>4100000</v>
      </c>
      <c r="Y23" s="48">
        <v>0.75</v>
      </c>
      <c r="Z23" s="47">
        <v>275000</v>
      </c>
      <c r="AB23" s="263" t="s">
        <v>71</v>
      </c>
      <c r="AC23" s="264"/>
    </row>
    <row r="24" spans="1:29" ht="18.75" customHeight="1" x14ac:dyDescent="0.15">
      <c r="A24" s="11"/>
      <c r="B24" s="11"/>
      <c r="C24" s="233" t="s">
        <v>55</v>
      </c>
      <c r="D24" s="233"/>
      <c r="E24" s="233"/>
      <c r="F24" s="233"/>
      <c r="G24" s="233"/>
      <c r="H24" s="233"/>
      <c r="I24" s="233"/>
      <c r="J24" s="233"/>
      <c r="K24" s="233"/>
      <c r="L24" s="233"/>
      <c r="M24" s="233"/>
      <c r="N24" s="233"/>
      <c r="O24" s="233"/>
      <c r="P24" s="233"/>
      <c r="Q24" s="233"/>
      <c r="R24" s="55"/>
      <c r="S24" s="55"/>
      <c r="T24" s="55"/>
      <c r="U24" s="266"/>
      <c r="V24" s="47">
        <v>4100000</v>
      </c>
      <c r="W24" s="6" t="s">
        <v>60</v>
      </c>
      <c r="X24" s="47">
        <v>7700000</v>
      </c>
      <c r="Y24" s="48">
        <v>0.85</v>
      </c>
      <c r="Z24" s="47">
        <v>685000</v>
      </c>
      <c r="AB24" s="5" t="s">
        <v>74</v>
      </c>
      <c r="AC24" s="7">
        <v>0.3</v>
      </c>
    </row>
    <row r="25" spans="1:29" ht="18.75" customHeight="1" x14ac:dyDescent="0.15">
      <c r="A25" s="11"/>
      <c r="B25" s="11"/>
      <c r="C25" s="229" t="s">
        <v>51</v>
      </c>
      <c r="D25" s="229"/>
      <c r="E25" s="229"/>
      <c r="F25" s="229"/>
      <c r="G25" s="229"/>
      <c r="H25" s="229"/>
      <c r="I25" s="229"/>
      <c r="J25" s="229"/>
      <c r="K25" s="229"/>
      <c r="L25" s="229"/>
      <c r="M25" s="229"/>
      <c r="N25" s="229"/>
      <c r="O25" s="229"/>
      <c r="P25" s="229"/>
      <c r="Q25" s="229"/>
      <c r="R25" s="11"/>
      <c r="S25" s="11"/>
      <c r="T25" s="11"/>
      <c r="U25" s="266"/>
      <c r="V25" s="47">
        <v>7700000</v>
      </c>
      <c r="W25" s="6" t="s">
        <v>60</v>
      </c>
      <c r="X25" s="47">
        <v>10000000</v>
      </c>
      <c r="Y25" s="48">
        <v>0.95</v>
      </c>
      <c r="Z25" s="47">
        <v>1455000</v>
      </c>
    </row>
    <row r="26" spans="1:29" ht="26.25" customHeight="1" x14ac:dyDescent="0.15">
      <c r="A26" s="11"/>
      <c r="B26" s="11"/>
      <c r="C26" s="56"/>
      <c r="D26" s="56"/>
      <c r="E26" s="56"/>
      <c r="F26" s="56"/>
      <c r="G26" s="56"/>
      <c r="H26" s="56"/>
      <c r="I26" s="56"/>
      <c r="J26" s="56"/>
      <c r="K26" s="56"/>
      <c r="L26" s="56"/>
      <c r="M26" s="56"/>
      <c r="N26" s="56"/>
      <c r="O26" s="56"/>
      <c r="P26" s="56"/>
      <c r="Q26" s="56"/>
      <c r="R26" s="11"/>
      <c r="S26" s="11"/>
      <c r="T26" s="11"/>
      <c r="U26" s="267"/>
      <c r="V26" s="47">
        <v>10000000</v>
      </c>
      <c r="W26" s="6" t="s">
        <v>60</v>
      </c>
      <c r="X26" s="47"/>
      <c r="Y26" s="94">
        <v>1</v>
      </c>
      <c r="Z26" s="47">
        <v>1955000</v>
      </c>
    </row>
    <row r="27" spans="1:29" ht="26.25" customHeight="1" x14ac:dyDescent="0.15">
      <c r="A27" s="11"/>
      <c r="B27" s="11"/>
      <c r="C27" s="56"/>
      <c r="D27" s="56"/>
      <c r="E27" s="56"/>
      <c r="F27" s="56"/>
      <c r="G27" s="56"/>
      <c r="H27" s="56"/>
      <c r="I27" s="56"/>
      <c r="J27" s="56"/>
      <c r="K27" s="56"/>
      <c r="L27" s="56"/>
      <c r="M27" s="56"/>
      <c r="N27" s="56"/>
      <c r="O27" s="56"/>
      <c r="P27" s="56"/>
      <c r="Q27" s="56"/>
      <c r="R27" s="11"/>
      <c r="S27" s="11"/>
      <c r="T27" s="11"/>
      <c r="U27" s="32"/>
      <c r="V27" s="11"/>
      <c r="W27" s="57"/>
      <c r="X27" s="55"/>
      <c r="Y27" s="11"/>
      <c r="Z27" s="11"/>
    </row>
    <row r="28" spans="1:29" ht="26.25" customHeight="1" x14ac:dyDescent="0.15">
      <c r="A28" s="11"/>
      <c r="B28" s="11"/>
      <c r="C28" s="11"/>
      <c r="D28" s="11"/>
      <c r="E28" s="11"/>
      <c r="F28" s="11"/>
      <c r="G28" s="11"/>
      <c r="H28" s="11"/>
      <c r="I28" s="11"/>
      <c r="J28" s="11"/>
      <c r="K28" s="11"/>
      <c r="L28" s="11"/>
      <c r="M28" s="11"/>
      <c r="N28" s="11"/>
      <c r="O28" s="11"/>
      <c r="P28" s="11"/>
      <c r="Q28" s="11"/>
      <c r="R28" s="11"/>
      <c r="S28" s="11"/>
      <c r="T28" s="11"/>
      <c r="U28" s="11"/>
      <c r="V28" s="11"/>
      <c r="W28" s="57"/>
      <c r="X28" s="55"/>
      <c r="Y28" s="11"/>
    </row>
    <row r="29" spans="1:29" ht="26.25" customHeight="1" thickBot="1" x14ac:dyDescent="0.2">
      <c r="A29" s="11"/>
      <c r="B29" s="11"/>
      <c r="C29" s="11"/>
      <c r="D29" s="11"/>
      <c r="E29" s="11"/>
      <c r="F29" s="11"/>
      <c r="G29" s="11"/>
      <c r="H29" s="11"/>
      <c r="I29" s="11"/>
      <c r="J29" s="11"/>
      <c r="K29" s="11"/>
      <c r="L29" s="11"/>
      <c r="M29" s="11"/>
    </row>
    <row r="30" spans="1:29" ht="26.25" customHeight="1" thickTop="1" x14ac:dyDescent="0.15">
      <c r="A30" s="11"/>
      <c r="B30" s="203" t="s">
        <v>110</v>
      </c>
      <c r="C30" s="204"/>
      <c r="D30" s="204"/>
      <c r="E30" s="204"/>
      <c r="F30" s="204"/>
      <c r="G30" s="204"/>
      <c r="H30" s="204"/>
      <c r="I30" s="204"/>
      <c r="J30" s="204"/>
      <c r="K30" s="204"/>
      <c r="L30" s="204"/>
      <c r="M30" s="204"/>
      <c r="N30" s="204"/>
      <c r="O30" s="204"/>
      <c r="P30" s="204"/>
      <c r="Q30" s="204"/>
      <c r="R30" s="205"/>
      <c r="S30" s="11"/>
    </row>
    <row r="31" spans="1:29" ht="26.25" customHeight="1" x14ac:dyDescent="0.15">
      <c r="A31" s="11"/>
      <c r="B31" s="206"/>
      <c r="C31" s="207"/>
      <c r="D31" s="207"/>
      <c r="E31" s="207"/>
      <c r="F31" s="207"/>
      <c r="G31" s="207"/>
      <c r="H31" s="207"/>
      <c r="I31" s="207"/>
      <c r="J31" s="207"/>
      <c r="K31" s="207"/>
      <c r="L31" s="207"/>
      <c r="M31" s="207"/>
      <c r="N31" s="207"/>
      <c r="O31" s="207"/>
      <c r="P31" s="207"/>
      <c r="Q31" s="207"/>
      <c r="R31" s="208"/>
      <c r="S31" s="11"/>
    </row>
    <row r="32" spans="1:29" ht="26.25" customHeight="1" x14ac:dyDescent="0.15">
      <c r="A32" s="11"/>
      <c r="B32" s="122"/>
      <c r="C32" s="123"/>
      <c r="D32" s="123"/>
      <c r="E32" s="123"/>
      <c r="F32" s="123"/>
      <c r="G32" s="123"/>
      <c r="H32" s="123"/>
      <c r="I32" s="123"/>
      <c r="J32" s="123"/>
      <c r="K32" s="123"/>
      <c r="L32" s="123"/>
      <c r="M32" s="212" t="s">
        <v>102</v>
      </c>
      <c r="N32" s="212"/>
      <c r="O32" s="212"/>
      <c r="P32" s="212"/>
      <c r="Q32" s="212"/>
      <c r="R32" s="59"/>
      <c r="S32" s="11"/>
    </row>
    <row r="33" spans="1:28" ht="26.25" customHeight="1" x14ac:dyDescent="0.15">
      <c r="A33" s="11"/>
      <c r="B33" s="124"/>
      <c r="C33" s="225" t="s">
        <v>20</v>
      </c>
      <c r="D33" s="225"/>
      <c r="E33" s="225"/>
      <c r="F33" s="225"/>
      <c r="G33" s="225"/>
      <c r="H33" s="225"/>
      <c r="I33" s="125"/>
      <c r="J33" s="234" t="s">
        <v>21</v>
      </c>
      <c r="K33" s="234"/>
      <c r="L33" s="234"/>
      <c r="M33" s="213"/>
      <c r="N33" s="213"/>
      <c r="O33" s="213"/>
      <c r="P33" s="213"/>
      <c r="Q33" s="213"/>
      <c r="R33" s="59"/>
      <c r="S33" s="11"/>
      <c r="T33" s="11"/>
    </row>
    <row r="34" spans="1:28" ht="26.25" customHeight="1" x14ac:dyDescent="0.15">
      <c r="A34" s="11"/>
      <c r="B34" s="124"/>
      <c r="C34" s="179" t="s">
        <v>19</v>
      </c>
      <c r="D34" s="187" t="s">
        <v>11</v>
      </c>
      <c r="E34" s="187"/>
      <c r="F34" s="187" t="s">
        <v>10</v>
      </c>
      <c r="G34" s="187"/>
      <c r="H34" s="191" t="s">
        <v>43</v>
      </c>
      <c r="I34" s="125"/>
      <c r="J34" s="167" t="s">
        <v>3</v>
      </c>
      <c r="K34" s="126"/>
      <c r="L34" s="127"/>
      <c r="M34" s="213"/>
      <c r="N34" s="213"/>
      <c r="O34" s="213"/>
      <c r="P34" s="213"/>
      <c r="Q34" s="213"/>
      <c r="R34" s="59"/>
      <c r="S34" s="11"/>
      <c r="T34" s="11"/>
    </row>
    <row r="35" spans="1:28" ht="26.25" customHeight="1" x14ac:dyDescent="0.15">
      <c r="A35" s="11"/>
      <c r="B35" s="124"/>
      <c r="C35" s="180"/>
      <c r="D35" s="128" t="s">
        <v>35</v>
      </c>
      <c r="E35" s="128" t="s">
        <v>17</v>
      </c>
      <c r="F35" s="128" t="s">
        <v>35</v>
      </c>
      <c r="G35" s="128" t="s">
        <v>17</v>
      </c>
      <c r="H35" s="192"/>
      <c r="I35" s="125"/>
      <c r="J35" s="168"/>
      <c r="K35" s="128" t="s">
        <v>1</v>
      </c>
      <c r="L35" s="128" t="s">
        <v>2</v>
      </c>
      <c r="M35" s="213"/>
      <c r="N35" s="213"/>
      <c r="O35" s="213"/>
      <c r="P35" s="213"/>
      <c r="Q35" s="213"/>
      <c r="R35" s="60"/>
      <c r="S35" s="11"/>
      <c r="T35" s="11" t="s">
        <v>77</v>
      </c>
      <c r="U35" s="7" t="s">
        <v>17</v>
      </c>
      <c r="V35" s="11"/>
      <c r="W35" s="57"/>
      <c r="X35" s="55"/>
      <c r="Y35" s="11"/>
      <c r="Z35" s="11"/>
    </row>
    <row r="36" spans="1:28" ht="26.25" customHeight="1" thickBot="1" x14ac:dyDescent="0.2">
      <c r="A36" s="11"/>
      <c r="B36" s="124"/>
      <c r="C36" s="128" t="s">
        <v>14</v>
      </c>
      <c r="D36" s="129">
        <f>IF(D16="加入しない","-",IF(E16="",0,IF(E16="未就学児",0.5,1)))</f>
        <v>0</v>
      </c>
      <c r="E36" s="130">
        <f>IF(D16="加入しない","-",IF(P16&gt;=U$36,P16-U$36,0))</f>
        <v>0</v>
      </c>
      <c r="F36" s="129">
        <f>IF(D16="加入しない","-",IF(E16="40～64歳",1,0))</f>
        <v>0</v>
      </c>
      <c r="G36" s="130">
        <f>IF(D16="加入しない","-",IF(E16="40～64歳",IF(P16&gt;=U$36,P16-U$36,0),0))</f>
        <v>0</v>
      </c>
      <c r="H36" s="130">
        <f>IF(T16&gt;0,1,IF(L16&gt;0,1,0))</f>
        <v>0</v>
      </c>
      <c r="I36" s="131"/>
      <c r="J36" s="130">
        <f>IF(D16="加入しない","-",K36+L36)</f>
        <v>0</v>
      </c>
      <c r="K36" s="130">
        <f>IF(D16="加入しない","-",ROUNDDOWN(E36*O8/100,-2)+ROUNDDOWN(E36*P8/100,-2)+ROUNDDOWN(G36*Q8/100,-2))</f>
        <v>0</v>
      </c>
      <c r="L36" s="130">
        <f>IF(D16="加入しない","-",ROUNDDOWN(D36*O9,-2)+ROUNDDOWN(D36*P9,-2)+ROUNDDOWN(F36*Q9,-2))</f>
        <v>0</v>
      </c>
      <c r="M36" s="132"/>
      <c r="N36" s="190" t="s">
        <v>94</v>
      </c>
      <c r="O36" s="190"/>
      <c r="P36" s="190"/>
      <c r="Q36" s="190"/>
      <c r="R36" s="60"/>
      <c r="S36" s="11"/>
      <c r="T36" s="11" t="s">
        <v>78</v>
      </c>
      <c r="U36" s="7">
        <v>430000</v>
      </c>
      <c r="V36" s="11"/>
      <c r="W36" s="57"/>
      <c r="X36" s="55"/>
      <c r="Y36" s="11"/>
      <c r="Z36" s="11"/>
    </row>
    <row r="37" spans="1:28" ht="26.25" customHeight="1" x14ac:dyDescent="0.15">
      <c r="A37" s="11"/>
      <c r="B37" s="124"/>
      <c r="C37" s="128" t="str">
        <f>IF(D16="加入しない","１人目","２人目")</f>
        <v>２人目</v>
      </c>
      <c r="D37" s="129" t="str">
        <f>IF(E17="","-",IF(E17="未就学児",0.5,1))</f>
        <v>-</v>
      </c>
      <c r="E37" s="130" t="str">
        <f>IF(E17="","-",IF(P17&gt;=U$36,P17-U$36,0))</f>
        <v>-</v>
      </c>
      <c r="F37" s="129" t="str">
        <f>IF(E17="","-",IF(E17="40～64歳",1,0))</f>
        <v>-</v>
      </c>
      <c r="G37" s="130">
        <f t="shared" ref="G37:G41" si="8">IF(D17="加入しない","-",IF(E17="40～64歳",IF(P17&gt;=U$36,P17-U$36,0),0))</f>
        <v>0</v>
      </c>
      <c r="H37" s="130" t="str">
        <f>IF(E17="","-",IF(T17&gt;0,1,IF(L17&gt;0,1,0)))</f>
        <v>-</v>
      </c>
      <c r="I37" s="131"/>
      <c r="J37" s="133" t="str">
        <f>IF(E17="","-",K37+L37)</f>
        <v>-</v>
      </c>
      <c r="K37" s="130" t="str">
        <f>IF(E17="","-",ROUNDDOWN(E37*O$8/100,-2)+ROUNDDOWN(E37*P$8/100,-2)+ROUNDDOWN(G37*Q$8/100,-2))</f>
        <v>-</v>
      </c>
      <c r="L37" s="130" t="str">
        <f>IF(E17="","-",ROUNDDOWN(D37*O$9,-2)+ROUNDDOWN(D37*P$9,-2)+ROUNDDOWN(F37*Q$9,-2))</f>
        <v>-</v>
      </c>
      <c r="M37" s="132"/>
      <c r="N37" s="181">
        <f>IF(ROUNDDOWN(E42*O8/100,-2)+ROUNDDOWN(E42*P8/100,-2)+ROUNDDOWN(D42*O9,-2)+ROUNDDOWN(D42*P9,-2)&lt;SUM(O10:P10),ROUNDDOWN(E42*O8/100,-2)+ROUNDDOWN(E42*P8/100,-2)+ROUNDDOWN(D42*O9,-2)+ROUNDDOWN(D42*P9,-2),SUM(O10:P10))+IF(ROUNDDOWN(G42*Q8/100,-2)+ROUNDDOWN(F42*Q9,-2)&lt;Q10,ROUNDDOWN(G42*Q8/100,-2)+ROUNDDOWN(F42*Q9,-2),Q10)</f>
        <v>0</v>
      </c>
      <c r="O37" s="182"/>
      <c r="P37" s="183"/>
      <c r="Q37" s="188" t="s">
        <v>22</v>
      </c>
      <c r="R37" s="60"/>
      <c r="S37" s="11"/>
      <c r="U37" s="11"/>
      <c r="V37" s="11"/>
      <c r="W37" s="57"/>
      <c r="X37" s="55"/>
      <c r="Y37" s="11"/>
      <c r="Z37" s="11"/>
    </row>
    <row r="38" spans="1:28" ht="26.25" customHeight="1" thickBot="1" x14ac:dyDescent="0.2">
      <c r="A38" s="11"/>
      <c r="B38" s="124"/>
      <c r="C38" s="128" t="str">
        <f>IF(D16="加入しない","２人目","３人目")</f>
        <v>３人目</v>
      </c>
      <c r="D38" s="129" t="str">
        <f t="shared" ref="D38:D41" si="9">IF(E18="","-",IF(E18="未就学児",0.5,1))</f>
        <v>-</v>
      </c>
      <c r="E38" s="130" t="str">
        <f t="shared" ref="E38:E40" si="10">IF(E18="","-",IF(P18&gt;=U$36,P18-U$36,0))</f>
        <v>-</v>
      </c>
      <c r="F38" s="129" t="str">
        <f>IF(E18="","-",IF(E18="40～64歳",1,0))</f>
        <v>-</v>
      </c>
      <c r="G38" s="130">
        <f t="shared" si="8"/>
        <v>0</v>
      </c>
      <c r="H38" s="130" t="str">
        <f>IF(E18="","-",IF(T18&gt;0,1,IF(L18&gt;0,1,0)))</f>
        <v>-</v>
      </c>
      <c r="I38" s="131"/>
      <c r="J38" s="133" t="str">
        <f>IF(E18="","-",K38+L38)</f>
        <v>-</v>
      </c>
      <c r="K38" s="130" t="str">
        <f>IF(E18="","-",ROUNDDOWN(E38*O$8/100,-2)+ROUNDDOWN(E38*P$8/100,-2)+ROUNDDOWN(G38*Q$8/100,-2))</f>
        <v>-</v>
      </c>
      <c r="L38" s="130" t="str">
        <f>IF(E18="","-",ROUNDDOWN(D38*O$9,-2)+ROUNDDOWN(D38*P$9,-2)+ROUNDDOWN(F38*Q$9,-2))</f>
        <v>-</v>
      </c>
      <c r="M38" s="132"/>
      <c r="N38" s="184"/>
      <c r="O38" s="185"/>
      <c r="P38" s="186"/>
      <c r="Q38" s="189"/>
      <c r="R38" s="59"/>
      <c r="S38" s="11"/>
      <c r="T38" s="11"/>
      <c r="U38" s="11"/>
      <c r="V38" s="11"/>
      <c r="W38" s="57"/>
      <c r="X38" s="55"/>
      <c r="Y38" s="11"/>
      <c r="Z38" s="11"/>
    </row>
    <row r="39" spans="1:28" ht="26.25" customHeight="1" x14ac:dyDescent="0.15">
      <c r="A39" s="11"/>
      <c r="B39" s="124"/>
      <c r="C39" s="128" t="str">
        <f>IF(D16="加入しない","３人目","４人目")</f>
        <v>４人目</v>
      </c>
      <c r="D39" s="129" t="str">
        <f t="shared" si="9"/>
        <v>-</v>
      </c>
      <c r="E39" s="130" t="str">
        <f t="shared" si="10"/>
        <v>-</v>
      </c>
      <c r="F39" s="129" t="str">
        <f>IF(E19="","-",IF(E19="40～64歳",1,0))</f>
        <v>-</v>
      </c>
      <c r="G39" s="130">
        <f t="shared" si="8"/>
        <v>0</v>
      </c>
      <c r="H39" s="130" t="str">
        <f>IF(E19="","-",IF(T19&gt;0,1,IF(L19&gt;0,1,0)))</f>
        <v>-</v>
      </c>
      <c r="I39" s="131"/>
      <c r="J39" s="133" t="str">
        <f>IF(E19="","-",K39+L39)</f>
        <v>-</v>
      </c>
      <c r="K39" s="130" t="str">
        <f t="shared" ref="K39:K41" si="11">IF(E19="","-",ROUNDDOWN(E39*O$8/100,-2)+ROUNDDOWN(E39*P$8/100,-2)+ROUNDDOWN(G39*Q$8/100,-2))</f>
        <v>-</v>
      </c>
      <c r="L39" s="130" t="str">
        <f t="shared" ref="L39:L41" si="12">IF(E19="","-",ROUNDDOWN(D39*O$9,-2)+ROUNDDOWN(D39*P$9,-2)+ROUNDDOWN(F39*Q$9,-2))</f>
        <v>-</v>
      </c>
      <c r="M39" s="132"/>
      <c r="N39" s="132" t="s">
        <v>58</v>
      </c>
      <c r="O39" s="134">
        <f>SUM(O10:Q10)</f>
        <v>1090000</v>
      </c>
      <c r="P39" s="132" t="s">
        <v>59</v>
      </c>
      <c r="Q39" s="132"/>
      <c r="R39" s="59"/>
      <c r="S39" s="61"/>
      <c r="T39" s="11"/>
      <c r="U39" s="11"/>
      <c r="V39" s="11"/>
      <c r="W39" s="57"/>
      <c r="X39" s="55"/>
      <c r="Y39" s="11"/>
      <c r="Z39" s="11"/>
    </row>
    <row r="40" spans="1:28" ht="26.25" customHeight="1" x14ac:dyDescent="0.15">
      <c r="A40" s="11"/>
      <c r="B40" s="124"/>
      <c r="C40" s="128" t="str">
        <f>IF(D16="加入しない","４人目","５人目")</f>
        <v>５人目</v>
      </c>
      <c r="D40" s="129" t="str">
        <f t="shared" si="9"/>
        <v>-</v>
      </c>
      <c r="E40" s="130" t="str">
        <f t="shared" si="10"/>
        <v>-</v>
      </c>
      <c r="F40" s="129" t="str">
        <f>IF(E20="","-",IF(E20="40～64歳",1,0))</f>
        <v>-</v>
      </c>
      <c r="G40" s="130">
        <f t="shared" si="8"/>
        <v>0</v>
      </c>
      <c r="H40" s="130" t="str">
        <f>IF(E20="","-",IF(T20&gt;0,1,IF(L20&gt;0,1,0)))</f>
        <v>-</v>
      </c>
      <c r="I40" s="131"/>
      <c r="J40" s="133" t="str">
        <f>IF(E20="","-",K40+L40)</f>
        <v>-</v>
      </c>
      <c r="K40" s="130" t="str">
        <f t="shared" si="11"/>
        <v>-</v>
      </c>
      <c r="L40" s="130" t="str">
        <f t="shared" si="12"/>
        <v>-</v>
      </c>
      <c r="M40" s="132"/>
      <c r="N40" s="175" t="s">
        <v>0</v>
      </c>
      <c r="O40" s="175"/>
      <c r="P40" s="175"/>
      <c r="Q40" s="175"/>
      <c r="R40" s="59"/>
      <c r="S40" s="11"/>
      <c r="T40" s="11"/>
      <c r="U40" s="11"/>
      <c r="V40" s="11"/>
      <c r="W40" s="57"/>
      <c r="X40" s="55"/>
      <c r="Y40" s="11"/>
      <c r="Z40" s="11"/>
    </row>
    <row r="41" spans="1:28" ht="26.25" customHeight="1" thickBot="1" x14ac:dyDescent="0.2">
      <c r="A41" s="11"/>
      <c r="B41" s="124"/>
      <c r="C41" s="128" t="str">
        <f>IF(D16="加入しない","５人目","６人目")</f>
        <v>６人目</v>
      </c>
      <c r="D41" s="135" t="str">
        <f t="shared" si="9"/>
        <v>-</v>
      </c>
      <c r="E41" s="136" t="str">
        <f>IF(E21="","-",IF(P21&gt;=U$36,P21-U$36,0))</f>
        <v>-</v>
      </c>
      <c r="F41" s="135" t="str">
        <f>IF(E21="","-",IF(E21="40～64歳",1,0))</f>
        <v>-</v>
      </c>
      <c r="G41" s="136">
        <f t="shared" si="8"/>
        <v>0</v>
      </c>
      <c r="H41" s="136" t="str">
        <f>IF(E21="","-",IF(T21&gt;0,1,IF(L21&gt;0,1,0)))</f>
        <v>-</v>
      </c>
      <c r="I41" s="131"/>
      <c r="J41" s="133" t="str">
        <f>IF(E21="","-",K41+L41)</f>
        <v>-</v>
      </c>
      <c r="K41" s="130" t="str">
        <f t="shared" si="11"/>
        <v>-</v>
      </c>
      <c r="L41" s="130" t="str">
        <f t="shared" si="12"/>
        <v>-</v>
      </c>
      <c r="M41" s="132"/>
      <c r="N41" s="170">
        <f>ROUNDDOWN(N37/12,0)</f>
        <v>0</v>
      </c>
      <c r="O41" s="171"/>
      <c r="P41" s="172"/>
      <c r="Q41" s="137" t="s">
        <v>4</v>
      </c>
      <c r="R41" s="59"/>
      <c r="S41" s="11"/>
      <c r="T41" s="11"/>
      <c r="U41" s="11"/>
      <c r="V41" s="11"/>
      <c r="W41" s="57"/>
      <c r="X41" s="55"/>
      <c r="Y41" s="11"/>
      <c r="Z41" s="11"/>
    </row>
    <row r="42" spans="1:28" ht="26.25" customHeight="1" thickTop="1" x14ac:dyDescent="0.15">
      <c r="A42" s="11"/>
      <c r="B42" s="124"/>
      <c r="C42" s="132"/>
      <c r="D42" s="138">
        <f>SUM(D36:D41)</f>
        <v>0</v>
      </c>
      <c r="E42" s="139">
        <f>SUM(E36:E41)</f>
        <v>0</v>
      </c>
      <c r="F42" s="138">
        <f>SUM(F36:F41)</f>
        <v>0</v>
      </c>
      <c r="G42" s="139">
        <f>SUM(G36:G41)</f>
        <v>0</v>
      </c>
      <c r="H42" s="139">
        <f>SUM(H36:H41)</f>
        <v>0</v>
      </c>
      <c r="I42" s="125"/>
      <c r="J42" s="169" t="s">
        <v>30</v>
      </c>
      <c r="K42" s="169"/>
      <c r="L42" s="169"/>
      <c r="M42" s="132"/>
      <c r="N42" s="209" t="s">
        <v>9</v>
      </c>
      <c r="O42" s="209"/>
      <c r="P42" s="209"/>
      <c r="Q42" s="209"/>
      <c r="R42" s="59"/>
      <c r="S42" s="11"/>
      <c r="T42" s="11"/>
      <c r="U42" s="11"/>
      <c r="V42" s="11"/>
      <c r="W42" s="57"/>
      <c r="X42" s="55"/>
      <c r="Y42" s="11"/>
      <c r="Z42" s="11"/>
    </row>
    <row r="43" spans="1:28" ht="26.25" customHeight="1" thickBot="1" x14ac:dyDescent="0.2">
      <c r="A43" s="11"/>
      <c r="B43" s="62"/>
      <c r="C43" s="63"/>
      <c r="D43" s="63"/>
      <c r="E43" s="63"/>
      <c r="F43" s="63"/>
      <c r="G43" s="63"/>
      <c r="H43" s="63"/>
      <c r="I43" s="63"/>
      <c r="J43" s="63"/>
      <c r="K43" s="63"/>
      <c r="L43" s="63"/>
      <c r="M43" s="63"/>
      <c r="N43" s="63"/>
      <c r="O43" s="63"/>
      <c r="P43" s="63"/>
      <c r="Q43" s="63"/>
      <c r="R43" s="64"/>
      <c r="S43" s="11"/>
      <c r="T43" s="11"/>
      <c r="U43" s="11"/>
      <c r="V43" s="11"/>
      <c r="W43" s="57"/>
      <c r="X43" s="55"/>
      <c r="Y43" s="11"/>
      <c r="Z43" s="11"/>
    </row>
    <row r="44" spans="1:28" ht="26.25" customHeight="1" thickTop="1" x14ac:dyDescent="0.15">
      <c r="A44" s="11"/>
      <c r="B44" s="11"/>
      <c r="C44" s="11"/>
      <c r="D44" s="11"/>
      <c r="E44" s="11"/>
      <c r="F44" s="11"/>
      <c r="G44" s="11"/>
      <c r="H44" s="11"/>
      <c r="I44" s="11"/>
      <c r="J44" s="11"/>
      <c r="K44" s="11"/>
      <c r="L44" s="11"/>
      <c r="M44" s="11"/>
      <c r="N44" s="11"/>
      <c r="O44" s="11"/>
      <c r="P44" s="11"/>
      <c r="Q44" s="11"/>
      <c r="R44" s="11"/>
      <c r="S44" s="11"/>
      <c r="T44" s="11"/>
      <c r="V44" s="11"/>
      <c r="W44" s="57"/>
      <c r="X44" s="55"/>
      <c r="Y44" s="11"/>
      <c r="Z44" s="11"/>
      <c r="AA44" s="11"/>
      <c r="AB44" s="11"/>
    </row>
    <row r="45" spans="1:28" ht="26.25" customHeight="1" x14ac:dyDescent="0.15">
      <c r="A45" s="11"/>
      <c r="B45" s="11"/>
      <c r="C45" s="11"/>
      <c r="D45" s="11"/>
      <c r="E45" s="11"/>
      <c r="F45" s="11"/>
      <c r="G45" s="11"/>
      <c r="H45" s="11"/>
      <c r="I45" s="11"/>
      <c r="J45" s="11"/>
      <c r="K45" s="11"/>
      <c r="L45" s="11"/>
      <c r="M45" s="11"/>
      <c r="N45" s="11"/>
      <c r="O45" s="11"/>
      <c r="P45" s="11"/>
      <c r="R45" s="11"/>
      <c r="S45" s="11"/>
      <c r="T45" s="11"/>
      <c r="U45" s="11"/>
      <c r="V45" s="11"/>
      <c r="W45" s="57"/>
    </row>
    <row r="46" spans="1:28" ht="26.25" customHeight="1" x14ac:dyDescent="0.15">
      <c r="B46" s="176" t="s">
        <v>112</v>
      </c>
      <c r="C46" s="177"/>
      <c r="D46" s="177"/>
      <c r="E46" s="177"/>
      <c r="F46" s="177"/>
      <c r="G46" s="177"/>
      <c r="H46" s="177"/>
      <c r="I46" s="177"/>
      <c r="J46" s="177"/>
      <c r="K46" s="177"/>
      <c r="L46" s="177"/>
      <c r="M46" s="177"/>
      <c r="N46" s="177"/>
      <c r="O46" s="177"/>
      <c r="P46" s="177"/>
      <c r="Q46" s="177"/>
      <c r="R46" s="178"/>
      <c r="T46" s="11"/>
      <c r="U46" s="11"/>
      <c r="V46" s="11"/>
      <c r="W46" s="57"/>
      <c r="X46" s="55"/>
    </row>
    <row r="47" spans="1:28" ht="19.5" customHeight="1" x14ac:dyDescent="0.15">
      <c r="B47" s="65"/>
      <c r="C47" s="66"/>
      <c r="D47" s="66"/>
      <c r="E47" s="66"/>
      <c r="F47" s="66"/>
      <c r="G47" s="66"/>
      <c r="H47" s="66"/>
      <c r="I47" s="66"/>
      <c r="J47" s="66"/>
      <c r="K47" s="66"/>
      <c r="L47" s="66"/>
      <c r="M47" s="66"/>
      <c r="N47" s="66"/>
      <c r="O47" s="66"/>
      <c r="P47" s="66"/>
      <c r="Q47" s="66"/>
      <c r="R47" s="67"/>
      <c r="T47" s="11"/>
      <c r="U47" s="11"/>
      <c r="V47" s="11"/>
      <c r="W47" s="57"/>
      <c r="X47" s="55"/>
    </row>
    <row r="48" spans="1:28" ht="26.25" customHeight="1" x14ac:dyDescent="0.15">
      <c r="B48" s="68"/>
      <c r="C48" s="211" t="s">
        <v>37</v>
      </c>
      <c r="D48" s="211"/>
      <c r="E48" s="211"/>
      <c r="F48" s="211"/>
      <c r="G48" s="211"/>
      <c r="H48" s="211"/>
      <c r="I48" s="211"/>
      <c r="J48" s="211"/>
      <c r="K48" s="211"/>
      <c r="L48" s="211"/>
      <c r="M48" s="211"/>
      <c r="N48" s="211"/>
      <c r="O48" s="211"/>
      <c r="P48" s="211"/>
      <c r="Q48" s="211"/>
      <c r="R48" s="69"/>
      <c r="T48" s="11"/>
      <c r="U48" s="11"/>
      <c r="V48" s="11"/>
      <c r="W48" s="57"/>
      <c r="X48" s="55"/>
    </row>
    <row r="49" spans="2:27" ht="34.5" customHeight="1" x14ac:dyDescent="0.15">
      <c r="B49" s="70"/>
      <c r="C49" s="202" t="s">
        <v>5</v>
      </c>
      <c r="D49" s="202"/>
      <c r="E49" s="202"/>
      <c r="F49" s="202"/>
      <c r="G49" s="202"/>
      <c r="H49" s="202"/>
      <c r="I49" s="202"/>
      <c r="J49" s="16" t="s">
        <v>12</v>
      </c>
      <c r="K49" s="174" t="s">
        <v>45</v>
      </c>
      <c r="L49" s="174"/>
      <c r="M49" s="71"/>
      <c r="N49" s="173" t="s">
        <v>111</v>
      </c>
      <c r="O49" s="173"/>
      <c r="P49" s="173"/>
      <c r="Q49" s="173"/>
      <c r="R49" s="72"/>
      <c r="T49" s="11" t="s">
        <v>80</v>
      </c>
      <c r="U49" s="268" t="s">
        <v>66</v>
      </c>
      <c r="V49" s="268"/>
      <c r="W49" s="268"/>
      <c r="X49" s="268"/>
      <c r="Y49" s="5" t="s">
        <v>79</v>
      </c>
    </row>
    <row r="50" spans="2:27" ht="26.25" customHeight="1" x14ac:dyDescent="0.15">
      <c r="B50" s="70"/>
      <c r="C50" s="201" t="s">
        <v>57</v>
      </c>
      <c r="D50" s="201"/>
      <c r="E50" s="201"/>
      <c r="F50" s="201"/>
      <c r="G50" s="201"/>
      <c r="H50" s="201"/>
      <c r="I50" s="201"/>
      <c r="J50" s="79" t="s">
        <v>6</v>
      </c>
      <c r="K50" s="166">
        <f>U50+IF(H42-1&gt;0,H42-1,0)*V50</f>
        <v>430000</v>
      </c>
      <c r="L50" s="166"/>
      <c r="M50" s="80"/>
      <c r="N50" s="81">
        <f>IF(Q22&gt;U50+IF(H42-1&gt;0,H42-1,0)*V50,"該当しません",ROUNDDOWN(E42*O8/100,-2)+ROUNDDOWN(E42*P8/100,-2)+D42*SUM(O9:P9)*Y50+ROUNDDOWN(G42*Q8/100,-2)+F42*Q9*Y50)</f>
        <v>0</v>
      </c>
      <c r="O50" s="82" t="s">
        <v>13</v>
      </c>
      <c r="P50" s="81">
        <f>IF(N50="該当しません","該当しません",ROUNDDOWN(N50/12,0))</f>
        <v>0</v>
      </c>
      <c r="Q50" s="83" t="s">
        <v>4</v>
      </c>
      <c r="R50" s="72"/>
      <c r="T50" s="7" t="s">
        <v>67</v>
      </c>
      <c r="U50" s="7">
        <v>430000</v>
      </c>
      <c r="V50" s="7">
        <v>100000</v>
      </c>
      <c r="W50" s="73"/>
      <c r="X50" s="49"/>
      <c r="Y50" s="7">
        <v>0.3</v>
      </c>
    </row>
    <row r="51" spans="2:27" ht="26.25" customHeight="1" x14ac:dyDescent="0.15">
      <c r="B51" s="70"/>
      <c r="C51" s="201" t="s">
        <v>136</v>
      </c>
      <c r="D51" s="201"/>
      <c r="E51" s="201"/>
      <c r="F51" s="201"/>
      <c r="G51" s="201"/>
      <c r="H51" s="201"/>
      <c r="I51" s="201"/>
      <c r="J51" s="79" t="s">
        <v>7</v>
      </c>
      <c r="K51" s="166">
        <f>U50+IF(H42-1&gt;0,H42-1,0)*V50+IF(D16="加入しない",COUNT(D37:D41),COUNT(D36:D41))*X51</f>
        <v>740000</v>
      </c>
      <c r="L51" s="166"/>
      <c r="M51" s="80"/>
      <c r="N51" s="81">
        <f>IF(Q22&gt;U50+IF(H42-1&gt;0,H42-1,0)*V50+IF(D16="加入しない",COUNT(D37:D41),COUNT(D36:D41))*X51,"該当しません",ROUNDDOWN(E42*O8/100,-2)+ROUNDDOWN(E42*P8/100,-2)+D42*SUM(O9:P9)*Y51+ROUNDDOWN(G42*Q8/100,-2)+F42*Q9*Y51)</f>
        <v>0</v>
      </c>
      <c r="O51" s="82" t="s">
        <v>13</v>
      </c>
      <c r="P51" s="81">
        <f>IF(N51="該当しません","該当しません",ROUNDDOWN(N51/12,0))</f>
        <v>0</v>
      </c>
      <c r="Q51" s="83" t="s">
        <v>4</v>
      </c>
      <c r="R51" s="72"/>
      <c r="T51" s="7" t="s">
        <v>68</v>
      </c>
      <c r="U51" s="7"/>
      <c r="V51" s="7"/>
      <c r="W51" s="73"/>
      <c r="X51" s="95">
        <v>310000</v>
      </c>
      <c r="Y51" s="7">
        <v>0.5</v>
      </c>
    </row>
    <row r="52" spans="2:27" ht="26.25" customHeight="1" x14ac:dyDescent="0.15">
      <c r="B52" s="70"/>
      <c r="C52" s="201" t="s">
        <v>137</v>
      </c>
      <c r="D52" s="201"/>
      <c r="E52" s="201"/>
      <c r="F52" s="201"/>
      <c r="G52" s="201"/>
      <c r="H52" s="201"/>
      <c r="I52" s="201"/>
      <c r="J52" s="79" t="s">
        <v>8</v>
      </c>
      <c r="K52" s="166">
        <f>U50+IF(H42-1&gt;0,H42-1,0)*V50+IF(D16="加入しない",COUNT(D37:D41),COUNT(D36:D41))*X52</f>
        <v>1000000</v>
      </c>
      <c r="L52" s="166"/>
      <c r="M52" s="80"/>
      <c r="N52" s="81">
        <f>IF(Q22&gt;U50+IF(H42-1&gt;0,H42-1,0)*V50++IF(D16="加入しない",COUNT(D37:D41),COUNT(D36:D41))*X52,"該当しません",ROUNDDOWN(E42*O8/100,-2)+ROUNDDOWN(E42*P8/100,-2)+D42*SUM(O9:P9)*Y52+ROUNDDOWN(G42*Q8/100,-2)+F42*Q9*Y52)</f>
        <v>0</v>
      </c>
      <c r="O52" s="82" t="s">
        <v>13</v>
      </c>
      <c r="P52" s="81">
        <f>IF(N52="該当しません","該当しません",ROUNDDOWN(N52/12,0))</f>
        <v>0</v>
      </c>
      <c r="Q52" s="83" t="s">
        <v>4</v>
      </c>
      <c r="R52" s="72"/>
      <c r="T52" s="7" t="s">
        <v>69</v>
      </c>
      <c r="U52" s="7"/>
      <c r="V52" s="7"/>
      <c r="W52" s="73"/>
      <c r="X52" s="95">
        <v>570000</v>
      </c>
      <c r="Y52" s="7">
        <v>0.8</v>
      </c>
    </row>
    <row r="53" spans="2:27" ht="33.75" customHeight="1" x14ac:dyDescent="0.15">
      <c r="B53" s="74"/>
      <c r="C53" s="193" t="s">
        <v>113</v>
      </c>
      <c r="D53" s="193"/>
      <c r="E53" s="193"/>
      <c r="F53" s="193"/>
      <c r="G53" s="193"/>
      <c r="H53" s="193"/>
      <c r="I53" s="193"/>
      <c r="J53" s="193"/>
      <c r="K53" s="193"/>
      <c r="L53" s="193"/>
      <c r="M53" s="193"/>
      <c r="N53" s="193"/>
      <c r="O53" s="193"/>
      <c r="P53" s="193"/>
      <c r="Q53" s="193"/>
      <c r="R53" s="75"/>
      <c r="T53" s="11"/>
      <c r="U53" s="11"/>
      <c r="V53" s="11"/>
      <c r="W53" s="57"/>
      <c r="X53" s="55"/>
    </row>
    <row r="54" spans="2:27" ht="26.25" customHeight="1" x14ac:dyDescent="0.15">
      <c r="M54" s="11"/>
      <c r="N54" s="11"/>
      <c r="O54" s="11"/>
      <c r="P54" s="11"/>
      <c r="Q54" s="11"/>
      <c r="R54" s="11"/>
      <c r="S54" s="11"/>
      <c r="T54" s="11"/>
      <c r="U54" s="11"/>
      <c r="V54" s="11"/>
      <c r="W54" s="57"/>
      <c r="Z54" s="11"/>
      <c r="AA54" s="11"/>
    </row>
    <row r="55" spans="2:27" ht="26.25" customHeight="1" x14ac:dyDescent="0.15">
      <c r="L55" s="11"/>
      <c r="N55" s="11"/>
      <c r="O55" s="11"/>
      <c r="P55" s="11"/>
    </row>
    <row r="56" spans="2:27" ht="26.25" customHeight="1" x14ac:dyDescent="0.15">
      <c r="N56" s="11"/>
      <c r="O56" s="11"/>
      <c r="P56" s="11"/>
    </row>
    <row r="58" spans="2:27" ht="26.25" customHeight="1" x14ac:dyDescent="0.15">
      <c r="N58" s="11"/>
      <c r="O58" s="11"/>
      <c r="P58" s="11"/>
      <c r="Q58" s="11"/>
    </row>
    <row r="59" spans="2:27" ht="26.25" customHeight="1" x14ac:dyDescent="0.15">
      <c r="N59" s="11"/>
      <c r="O59" s="11"/>
      <c r="P59" s="11"/>
      <c r="Q59" s="11"/>
      <c r="R59" s="11"/>
    </row>
  </sheetData>
  <sheetProtection algorithmName="SHA-512" hashValue="CjC1TAkBbD+WlsMpSOVx4ggyRZpoaJYzvGTijLRIQVkZjM7W+c1yvIe6NQ79pG+HopsJXInu9UUQWXjy1ywcmQ==" saltValue="Z5kvpAU360w2O4a5tZ113w==" spinCount="100000" sheet="1" objects="1" scenarios="1"/>
  <protectedRanges>
    <protectedRange sqref="D16:F16 E17:F21" name="範囲1"/>
  </protectedRanges>
  <mergeCells count="69">
    <mergeCell ref="AB20:AC20"/>
    <mergeCell ref="U22:U26"/>
    <mergeCell ref="S14:S15"/>
    <mergeCell ref="U49:X49"/>
    <mergeCell ref="AB23:AC23"/>
    <mergeCell ref="AB17:AC17"/>
    <mergeCell ref="T14:T15"/>
    <mergeCell ref="T1:U1"/>
    <mergeCell ref="C8:L8"/>
    <mergeCell ref="C9:L9"/>
    <mergeCell ref="V16:X16"/>
    <mergeCell ref="U17:U21"/>
    <mergeCell ref="U13:Z14"/>
    <mergeCell ref="C10:L10"/>
    <mergeCell ref="F13:F14"/>
    <mergeCell ref="H14:H15"/>
    <mergeCell ref="J14:J15"/>
    <mergeCell ref="K14:K15"/>
    <mergeCell ref="P13:P15"/>
    <mergeCell ref="N2:P2"/>
    <mergeCell ref="C12:P12"/>
    <mergeCell ref="N6:Q6"/>
    <mergeCell ref="B4:R4"/>
    <mergeCell ref="C33:H33"/>
    <mergeCell ref="O13:O15"/>
    <mergeCell ref="N13:N15"/>
    <mergeCell ref="L13:L15"/>
    <mergeCell ref="C25:Q25"/>
    <mergeCell ref="C13:C15"/>
    <mergeCell ref="C24:Q24"/>
    <mergeCell ref="J33:L33"/>
    <mergeCell ref="Q13:Q15"/>
    <mergeCell ref="B3:R3"/>
    <mergeCell ref="G13:G15"/>
    <mergeCell ref="D13:D14"/>
    <mergeCell ref="E13:E14"/>
    <mergeCell ref="C6:L7"/>
    <mergeCell ref="H34:H35"/>
    <mergeCell ref="C53:Q53"/>
    <mergeCell ref="C23:Q23"/>
    <mergeCell ref="M13:M15"/>
    <mergeCell ref="I13:I15"/>
    <mergeCell ref="C51:I51"/>
    <mergeCell ref="C52:I52"/>
    <mergeCell ref="C49:I49"/>
    <mergeCell ref="C50:I50"/>
    <mergeCell ref="B30:R31"/>
    <mergeCell ref="F34:G34"/>
    <mergeCell ref="N42:Q42"/>
    <mergeCell ref="J13:K13"/>
    <mergeCell ref="K52:L52"/>
    <mergeCell ref="C48:Q48"/>
    <mergeCell ref="M32:Q35"/>
    <mergeCell ref="AD1:AE1"/>
    <mergeCell ref="AD2:AE2"/>
    <mergeCell ref="K51:L51"/>
    <mergeCell ref="J34:J35"/>
    <mergeCell ref="J42:L42"/>
    <mergeCell ref="N41:P41"/>
    <mergeCell ref="N49:Q49"/>
    <mergeCell ref="K49:L49"/>
    <mergeCell ref="N40:Q40"/>
    <mergeCell ref="B46:R46"/>
    <mergeCell ref="C34:C35"/>
    <mergeCell ref="N37:P38"/>
    <mergeCell ref="K50:L50"/>
    <mergeCell ref="D34:E34"/>
    <mergeCell ref="Q37:Q38"/>
    <mergeCell ref="N36:Q36"/>
  </mergeCells>
  <phoneticPr fontId="1"/>
  <dataValidations count="3">
    <dataValidation type="list" allowBlank="1" showInputMessage="1" showErrorMessage="1" sqref="D16" xr:uid="{00000000-0002-0000-0000-000000000000}">
      <formula1>"加入する,加入しない"</formula1>
    </dataValidation>
    <dataValidation type="list" allowBlank="1" showInputMessage="1" showErrorMessage="1" sqref="F16:F21" xr:uid="{00000000-0002-0000-0000-000001000000}">
      <formula1>"該当する,該当しない"</formula1>
    </dataValidation>
    <dataValidation type="list" allowBlank="1" showInputMessage="1" showErrorMessage="1" sqref="E16:E21" xr:uid="{00000000-0002-0000-0000-000002000000}">
      <formula1>"未就学児,就学児～39歳,40～64歳,65歳以上"</formula1>
    </dataValidation>
  </dataValidations>
  <printOptions horizontalCentered="1"/>
  <pageMargins left="0.23622047244094491" right="0.23622047244094491" top="0.55118110236220474" bottom="0.55118110236220474" header="0.31496062992125984" footer="0.31496062992125984"/>
  <pageSetup paperSize="9" scale="62"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クリア2">
                <anchor moveWithCells="1" sizeWithCells="1">
                  <from>
                    <xdr:col>11</xdr:col>
                    <xdr:colOff>571500</xdr:colOff>
                    <xdr:row>11</xdr:row>
                    <xdr:rowOff>28575</xdr:rowOff>
                  </from>
                  <to>
                    <xdr:col>13</xdr:col>
                    <xdr:colOff>238125</xdr:colOff>
                    <xdr:row>11</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19199-4530-45C0-B10E-5F162964BE3A}">
  <sheetPr codeName="Sheet2"/>
  <dimension ref="A1:R23"/>
  <sheetViews>
    <sheetView view="pageBreakPreview" zoomScale="75" zoomScaleNormal="100" zoomScaleSheetLayoutView="75" workbookViewId="0">
      <selection activeCell="D9" sqref="D9"/>
    </sheetView>
  </sheetViews>
  <sheetFormatPr defaultColWidth="10.125" defaultRowHeight="24.95" customHeight="1" x14ac:dyDescent="0.15"/>
  <cols>
    <col min="1" max="2" width="3.25" customWidth="1"/>
    <col min="4" max="4" width="10.125" customWidth="1"/>
    <col min="5" max="5" width="6.625" customWidth="1"/>
    <col min="18" max="18" width="3.25" customWidth="1"/>
  </cols>
  <sheetData>
    <row r="1" spans="1:18" ht="24.95" customHeight="1" x14ac:dyDescent="0.15">
      <c r="A1" s="103"/>
      <c r="B1" s="103"/>
      <c r="C1" s="103"/>
      <c r="D1" s="103"/>
      <c r="E1" s="103"/>
      <c r="F1" s="103"/>
      <c r="G1" s="103"/>
      <c r="H1" s="103"/>
      <c r="I1" s="103"/>
      <c r="J1" s="103"/>
      <c r="K1" s="103"/>
      <c r="L1" s="103"/>
      <c r="M1" s="103"/>
      <c r="N1" s="103"/>
      <c r="O1" s="103"/>
      <c r="P1" s="103"/>
      <c r="Q1" s="103"/>
      <c r="R1" s="103"/>
    </row>
    <row r="2" spans="1:18" ht="24.95" customHeight="1" x14ac:dyDescent="0.15">
      <c r="A2" s="103"/>
      <c r="B2" s="103"/>
      <c r="C2" s="103"/>
      <c r="D2" s="103"/>
      <c r="E2" s="103"/>
      <c r="F2" s="103"/>
      <c r="G2" s="103"/>
      <c r="H2" s="103"/>
      <c r="I2" s="103"/>
      <c r="J2" s="103"/>
      <c r="K2" s="103"/>
      <c r="L2" s="103"/>
      <c r="M2" s="103"/>
      <c r="N2" s="270">
        <f ca="1">TODAY()</f>
        <v>46092</v>
      </c>
      <c r="O2" s="270"/>
      <c r="P2" s="270"/>
      <c r="Q2" s="140" t="s">
        <v>56</v>
      </c>
      <c r="R2" s="103"/>
    </row>
    <row r="3" spans="1:18" ht="24.95" customHeight="1" x14ac:dyDescent="0.15">
      <c r="A3" s="103"/>
      <c r="B3" s="271" t="s">
        <v>107</v>
      </c>
      <c r="C3" s="271"/>
      <c r="D3" s="271"/>
      <c r="E3" s="271"/>
      <c r="F3" s="271"/>
      <c r="G3" s="271"/>
      <c r="H3" s="271"/>
      <c r="I3" s="271"/>
      <c r="J3" s="271"/>
      <c r="K3" s="271"/>
      <c r="L3" s="271"/>
      <c r="M3" s="271"/>
      <c r="N3" s="271"/>
      <c r="O3" s="271"/>
      <c r="P3" s="271"/>
      <c r="Q3" s="271"/>
      <c r="R3" s="271"/>
    </row>
    <row r="4" spans="1:18" ht="24.95" customHeight="1" x14ac:dyDescent="0.15">
      <c r="A4" s="103"/>
      <c r="B4" s="271" t="s">
        <v>31</v>
      </c>
      <c r="C4" s="271"/>
      <c r="D4" s="271"/>
      <c r="E4" s="271"/>
      <c r="F4" s="271"/>
      <c r="G4" s="271"/>
      <c r="H4" s="271"/>
      <c r="I4" s="271"/>
      <c r="J4" s="271"/>
      <c r="K4" s="271"/>
      <c r="L4" s="271"/>
      <c r="M4" s="271"/>
      <c r="N4" s="271"/>
      <c r="O4" s="271"/>
      <c r="P4" s="271"/>
      <c r="Q4" s="271"/>
      <c r="R4" s="271"/>
    </row>
    <row r="5" spans="1:18" ht="24.95" customHeight="1" x14ac:dyDescent="0.15">
      <c r="A5" s="103"/>
      <c r="B5" s="103"/>
      <c r="C5" s="103"/>
      <c r="D5" s="103"/>
      <c r="E5" s="103"/>
      <c r="F5" s="103"/>
      <c r="G5" s="103"/>
      <c r="H5" s="103"/>
      <c r="I5" s="103"/>
      <c r="J5" s="103"/>
      <c r="K5" s="103"/>
      <c r="L5" s="103"/>
      <c r="M5" s="103"/>
      <c r="N5" s="103"/>
      <c r="O5" s="103"/>
      <c r="P5" s="103"/>
      <c r="Q5" s="103"/>
      <c r="R5" s="103"/>
    </row>
    <row r="6" spans="1:18" ht="24.95" customHeight="1" x14ac:dyDescent="0.15">
      <c r="A6" s="103"/>
      <c r="B6" s="103"/>
      <c r="C6" s="284" t="s">
        <v>20</v>
      </c>
      <c r="D6" s="284"/>
      <c r="E6" s="284"/>
      <c r="F6" s="284"/>
      <c r="G6" s="141"/>
      <c r="H6" s="284" t="s">
        <v>109</v>
      </c>
      <c r="I6" s="284"/>
      <c r="J6" s="284"/>
      <c r="K6" s="103"/>
      <c r="L6" s="103"/>
      <c r="M6" s="103"/>
      <c r="N6" s="103"/>
      <c r="O6" s="103"/>
      <c r="P6" s="272" t="s">
        <v>85</v>
      </c>
      <c r="Q6" s="272"/>
      <c r="R6" s="103"/>
    </row>
    <row r="7" spans="1:18" ht="24.95" customHeight="1" x14ac:dyDescent="0.15">
      <c r="A7" s="103"/>
      <c r="B7" s="103"/>
      <c r="C7" s="179" t="s">
        <v>19</v>
      </c>
      <c r="D7" s="273" t="s">
        <v>93</v>
      </c>
      <c r="E7" s="274"/>
      <c r="F7" s="275"/>
      <c r="G7" s="142"/>
      <c r="H7" s="167" t="s">
        <v>3</v>
      </c>
      <c r="I7" s="285"/>
      <c r="J7" s="286"/>
      <c r="K7" s="103"/>
      <c r="L7" s="103"/>
      <c r="M7" s="103"/>
      <c r="N7" s="103"/>
      <c r="O7" s="103"/>
      <c r="P7" s="128" t="s">
        <v>29</v>
      </c>
      <c r="Q7" s="128" t="s">
        <v>86</v>
      </c>
      <c r="R7" s="103"/>
    </row>
    <row r="8" spans="1:18" ht="24.95" customHeight="1" x14ac:dyDescent="0.15">
      <c r="A8" s="103"/>
      <c r="B8" s="103"/>
      <c r="C8" s="180"/>
      <c r="D8" s="143" t="s">
        <v>92</v>
      </c>
      <c r="E8" s="143" t="s">
        <v>101</v>
      </c>
      <c r="F8" s="128" t="s">
        <v>17</v>
      </c>
      <c r="G8" s="144"/>
      <c r="H8" s="168"/>
      <c r="I8" s="128" t="s">
        <v>1</v>
      </c>
      <c r="J8" s="128" t="s">
        <v>2</v>
      </c>
      <c r="K8" s="103"/>
      <c r="L8" s="103"/>
      <c r="M8" s="103"/>
      <c r="N8" s="103"/>
      <c r="O8" s="103"/>
      <c r="P8" s="128" t="s">
        <v>27</v>
      </c>
      <c r="Q8" s="120">
        <v>0.3</v>
      </c>
      <c r="R8" s="103"/>
    </row>
    <row r="9" spans="1:18" ht="24.95" customHeight="1" x14ac:dyDescent="0.15">
      <c r="A9" s="103"/>
      <c r="B9" s="103"/>
      <c r="C9" s="145" t="s">
        <v>14</v>
      </c>
      <c r="D9" s="146"/>
      <c r="E9" s="147" t="str">
        <f t="shared" ref="E9:E14" si="0">IF(D9="加入しない",0,IF(D9="18歳以上",1,IF(D9="18歳未満",0,"-")))</f>
        <v>-</v>
      </c>
      <c r="F9" s="148">
        <f>医療・支援・介護!E36</f>
        <v>0</v>
      </c>
      <c r="G9" s="144"/>
      <c r="H9" s="147" t="str">
        <f t="shared" ref="H9:H14" si="1">IF(J9="-","-",I9+J9)</f>
        <v>-</v>
      </c>
      <c r="I9" s="147">
        <f>IF(F9="-","-",ROUNDDOWN(F9*Q8/100,-2))</f>
        <v>0</v>
      </c>
      <c r="J9" s="147" t="str">
        <f t="shared" ref="J9:J14" si="2">IF(D9="加入しない","-",IF(D9="18歳以上",1700,IF(D9="18歳未満",0,"-")))</f>
        <v>-</v>
      </c>
      <c r="K9" s="103"/>
      <c r="L9" s="103"/>
      <c r="M9" s="103"/>
      <c r="N9" s="103"/>
      <c r="O9" s="103"/>
      <c r="P9" s="128" t="s">
        <v>26</v>
      </c>
      <c r="Q9" s="121">
        <v>1700</v>
      </c>
      <c r="R9" s="103"/>
    </row>
    <row r="10" spans="1:18" ht="24.95" customHeight="1" thickBot="1" x14ac:dyDescent="0.2">
      <c r="A10" s="103"/>
      <c r="B10" s="103"/>
      <c r="C10" s="145" t="s">
        <v>87</v>
      </c>
      <c r="D10" s="146"/>
      <c r="E10" s="147" t="str">
        <f t="shared" si="0"/>
        <v>-</v>
      </c>
      <c r="F10" s="148" t="str">
        <f>医療・支援・介護!E37</f>
        <v>-</v>
      </c>
      <c r="G10" s="144"/>
      <c r="H10" s="147" t="str">
        <f t="shared" si="1"/>
        <v>-</v>
      </c>
      <c r="I10" s="147" t="str">
        <f>IF(F10="-","-",ROUNDDOWN(F10*Q8/100,-2))</f>
        <v>-</v>
      </c>
      <c r="J10" s="147" t="str">
        <f t="shared" si="2"/>
        <v>-</v>
      </c>
      <c r="K10" s="103"/>
      <c r="L10" s="276" t="s">
        <v>94</v>
      </c>
      <c r="M10" s="276"/>
      <c r="N10" s="276"/>
      <c r="O10" s="115"/>
      <c r="P10" s="128" t="s">
        <v>28</v>
      </c>
      <c r="Q10" s="121">
        <v>30000</v>
      </c>
      <c r="R10" s="103"/>
    </row>
    <row r="11" spans="1:18" ht="24.95" customHeight="1" x14ac:dyDescent="0.15">
      <c r="A11" s="103"/>
      <c r="B11" s="103"/>
      <c r="C11" s="145" t="s">
        <v>88</v>
      </c>
      <c r="D11" s="146"/>
      <c r="E11" s="147" t="str">
        <f t="shared" si="0"/>
        <v>-</v>
      </c>
      <c r="F11" s="148" t="str">
        <f>医療・支援・介護!E38</f>
        <v>-</v>
      </c>
      <c r="G11" s="144"/>
      <c r="H11" s="147" t="str">
        <f t="shared" si="1"/>
        <v>-</v>
      </c>
      <c r="I11" s="147" t="str">
        <f>IF(F11="-","-",ROUNDDOWN(F11*Q8/100,-2))</f>
        <v>-</v>
      </c>
      <c r="J11" s="147" t="str">
        <f t="shared" si="2"/>
        <v>-</v>
      </c>
      <c r="K11" s="103"/>
      <c r="L11" s="278">
        <f>IF(ROUNDDOWN(F15*Q8/100,-2)+ROUNDDOWN(E15*Q9,-2)&lt;Q10,ROUNDDOWN(F15*Q8/100,-2)+ROUNDDOWN(E15*Q9,-2),Q10)</f>
        <v>0</v>
      </c>
      <c r="M11" s="279"/>
      <c r="N11" s="277" t="s">
        <v>95</v>
      </c>
      <c r="O11" s="116"/>
      <c r="P11" s="103"/>
      <c r="Q11" s="103"/>
      <c r="R11" s="103"/>
    </row>
    <row r="12" spans="1:18" ht="24.95" customHeight="1" thickBot="1" x14ac:dyDescent="0.2">
      <c r="A12" s="103"/>
      <c r="B12" s="103"/>
      <c r="C12" s="145" t="s">
        <v>89</v>
      </c>
      <c r="D12" s="146"/>
      <c r="E12" s="147" t="str">
        <f t="shared" si="0"/>
        <v>-</v>
      </c>
      <c r="F12" s="148" t="str">
        <f>医療・支援・介護!E39</f>
        <v>-</v>
      </c>
      <c r="G12" s="144"/>
      <c r="H12" s="147" t="str">
        <f t="shared" si="1"/>
        <v>-</v>
      </c>
      <c r="I12" s="147" t="str">
        <f>IF(F12="-","-",ROUNDDOWN(F12*Q8/100,-2))</f>
        <v>-</v>
      </c>
      <c r="J12" s="147" t="str">
        <f t="shared" si="2"/>
        <v>-</v>
      </c>
      <c r="K12" s="103"/>
      <c r="L12" s="280"/>
      <c r="M12" s="281"/>
      <c r="N12" s="277"/>
      <c r="O12" s="116"/>
      <c r="P12" s="103"/>
      <c r="Q12" s="103"/>
      <c r="R12" s="103"/>
    </row>
    <row r="13" spans="1:18" ht="24.95" customHeight="1" x14ac:dyDescent="0.15">
      <c r="A13" s="103"/>
      <c r="B13" s="103"/>
      <c r="C13" s="145" t="s">
        <v>90</v>
      </c>
      <c r="D13" s="146"/>
      <c r="E13" s="147" t="str">
        <f t="shared" si="0"/>
        <v>-</v>
      </c>
      <c r="F13" s="148" t="str">
        <f>医療・支援・介護!E40</f>
        <v>-</v>
      </c>
      <c r="G13" s="144"/>
      <c r="H13" s="147" t="str">
        <f t="shared" si="1"/>
        <v>-</v>
      </c>
      <c r="I13" s="147" t="str">
        <f>IF(F13="-","-",ROUNDDOWN(F13*Q8/100,-2))</f>
        <v>-</v>
      </c>
      <c r="J13" s="147" t="str">
        <f t="shared" si="2"/>
        <v>-</v>
      </c>
      <c r="K13" s="103"/>
      <c r="L13" s="96" t="s">
        <v>96</v>
      </c>
      <c r="M13" s="98">
        <f>SUM(Q10)</f>
        <v>30000</v>
      </c>
      <c r="N13" s="97" t="s">
        <v>97</v>
      </c>
      <c r="O13" s="97"/>
      <c r="P13" s="103"/>
      <c r="Q13" s="103"/>
      <c r="R13" s="103"/>
    </row>
    <row r="14" spans="1:18" ht="24.95" customHeight="1" thickBot="1" x14ac:dyDescent="0.2">
      <c r="A14" s="103"/>
      <c r="B14" s="103"/>
      <c r="C14" s="145" t="s">
        <v>91</v>
      </c>
      <c r="D14" s="146"/>
      <c r="E14" s="149" t="str">
        <f t="shared" si="0"/>
        <v>-</v>
      </c>
      <c r="F14" s="148" t="str">
        <f>医療・支援・介護!E41</f>
        <v>-</v>
      </c>
      <c r="G14" s="144"/>
      <c r="H14" s="147" t="str">
        <f t="shared" si="1"/>
        <v>-</v>
      </c>
      <c r="I14" s="147" t="str">
        <f>IF(F14="-","-",ROUNDDOWN(F14*Q8/100,-2))</f>
        <v>-</v>
      </c>
      <c r="J14" s="147" t="str">
        <f t="shared" si="2"/>
        <v>-</v>
      </c>
      <c r="K14" s="103"/>
      <c r="L14" s="150" t="s">
        <v>98</v>
      </c>
      <c r="M14" s="103"/>
      <c r="N14" s="103"/>
      <c r="O14" s="103"/>
      <c r="P14" s="103"/>
      <c r="Q14" s="103"/>
      <c r="R14" s="103"/>
    </row>
    <row r="15" spans="1:18" ht="24.95" customHeight="1" thickTop="1" x14ac:dyDescent="0.15">
      <c r="A15" s="103"/>
      <c r="B15" s="103"/>
      <c r="C15" s="151"/>
      <c r="D15" s="151"/>
      <c r="E15" s="152">
        <f>SUM(E9:E14)</f>
        <v>0</v>
      </c>
      <c r="F15" s="152">
        <f>SUM(F9:F14)</f>
        <v>0</v>
      </c>
      <c r="G15" s="144"/>
      <c r="H15" s="103"/>
      <c r="I15" s="103"/>
      <c r="J15" s="103"/>
      <c r="K15" s="103"/>
      <c r="L15" s="282">
        <f>ROUNDDOWN(L11/12,0)</f>
        <v>0</v>
      </c>
      <c r="M15" s="283"/>
      <c r="N15" s="150" t="s">
        <v>99</v>
      </c>
      <c r="O15" s="150"/>
      <c r="P15" s="103"/>
      <c r="Q15" s="103"/>
      <c r="R15" s="103"/>
    </row>
    <row r="16" spans="1:18" ht="24.95" customHeight="1" x14ac:dyDescent="0.15">
      <c r="A16" s="103"/>
      <c r="B16" s="103"/>
      <c r="C16" s="109" t="s">
        <v>129</v>
      </c>
      <c r="D16" s="103"/>
      <c r="E16" s="103"/>
      <c r="F16" s="103"/>
      <c r="G16" s="103"/>
      <c r="H16" s="103"/>
      <c r="I16" s="103"/>
      <c r="J16" s="103"/>
      <c r="K16" s="103"/>
      <c r="L16" s="153" t="s">
        <v>100</v>
      </c>
      <c r="M16" s="103"/>
      <c r="N16" s="103"/>
      <c r="O16" s="103"/>
      <c r="P16" s="103"/>
      <c r="Q16" s="103"/>
      <c r="R16" s="103"/>
    </row>
    <row r="17" spans="1:18" ht="24.95" customHeight="1" x14ac:dyDescent="0.15">
      <c r="A17" s="103"/>
      <c r="B17" s="103"/>
      <c r="C17" s="103"/>
      <c r="D17" s="103"/>
      <c r="E17" s="103"/>
      <c r="F17" s="103"/>
      <c r="G17" s="103"/>
      <c r="H17" s="103"/>
      <c r="I17" s="103"/>
      <c r="J17" s="103"/>
      <c r="K17" s="103"/>
      <c r="L17" s="103"/>
      <c r="M17" s="103"/>
      <c r="N17" s="103"/>
      <c r="O17" s="103"/>
      <c r="P17" s="103"/>
      <c r="Q17" s="103"/>
      <c r="R17" s="103"/>
    </row>
    <row r="18" spans="1:18" ht="24.95" customHeight="1" x14ac:dyDescent="0.15">
      <c r="A18" s="103"/>
      <c r="B18" s="287" t="s">
        <v>114</v>
      </c>
      <c r="C18" s="285"/>
      <c r="D18" s="285"/>
      <c r="E18" s="285"/>
      <c r="F18" s="285"/>
      <c r="G18" s="285"/>
      <c r="H18" s="285"/>
      <c r="I18" s="286"/>
      <c r="J18" s="154"/>
      <c r="K18" s="154"/>
      <c r="L18" s="154"/>
      <c r="M18" s="154"/>
      <c r="N18" s="154"/>
      <c r="O18" s="154"/>
      <c r="P18" s="154"/>
      <c r="Q18" s="154"/>
      <c r="R18" s="154"/>
    </row>
    <row r="19" spans="1:18" ht="24.95" customHeight="1" x14ac:dyDescent="0.15">
      <c r="A19" s="103"/>
      <c r="B19" s="155"/>
      <c r="C19" s="151"/>
      <c r="D19" s="151"/>
      <c r="E19" s="151"/>
      <c r="F19" s="151"/>
      <c r="G19" s="151"/>
      <c r="H19" s="151"/>
      <c r="I19" s="156"/>
      <c r="J19" s="103"/>
      <c r="K19" s="103"/>
      <c r="L19" s="103"/>
      <c r="M19" s="103"/>
      <c r="N19" s="103"/>
      <c r="O19" s="103"/>
      <c r="P19" s="103"/>
      <c r="Q19" s="103"/>
      <c r="R19" s="103"/>
    </row>
    <row r="20" spans="1:18" ht="24.95" customHeight="1" x14ac:dyDescent="0.15">
      <c r="A20" s="103"/>
      <c r="B20" s="157"/>
      <c r="C20" s="145" t="s">
        <v>103</v>
      </c>
      <c r="D20" s="288">
        <f>IF(医療・支援・介護!N50="該当しません","該当しません",IF(医療・支援・介護!N50=0,0,ROUNDDOWN(F15*Q8/100,-2)+E15*Q9*0.3))</f>
        <v>0</v>
      </c>
      <c r="E20" s="288"/>
      <c r="F20" s="102" t="s">
        <v>95</v>
      </c>
      <c r="G20" s="289">
        <f>IF(D20="該当しません","該当しません",ROUNDDOWN(D20/12,0))</f>
        <v>0</v>
      </c>
      <c r="H20" s="290"/>
      <c r="I20" s="158" t="s">
        <v>4</v>
      </c>
      <c r="J20" s="103"/>
      <c r="K20" s="103"/>
      <c r="L20" s="103"/>
      <c r="M20" s="103"/>
      <c r="N20" s="103"/>
      <c r="O20" s="103"/>
      <c r="P20" s="103"/>
      <c r="Q20" s="103"/>
      <c r="R20" s="103"/>
    </row>
    <row r="21" spans="1:18" ht="24.95" customHeight="1" x14ac:dyDescent="0.15">
      <c r="A21" s="103"/>
      <c r="B21" s="157"/>
      <c r="C21" s="145" t="s">
        <v>104</v>
      </c>
      <c r="D21" s="288">
        <f>IF(医療・支援・介護!N51="該当しません","該当しません",IF(医療・支援・介護!N51=0,0,ROUNDDOWN(F15*Q8/100,-2)+E15*Q9*0.5))</f>
        <v>0</v>
      </c>
      <c r="E21" s="288"/>
      <c r="F21" s="102" t="s">
        <v>95</v>
      </c>
      <c r="G21" s="289">
        <f>IF(D21="該当しません","該当しません",ROUNDDOWN(D21/12,0))</f>
        <v>0</v>
      </c>
      <c r="H21" s="290"/>
      <c r="I21" s="158" t="s">
        <v>4</v>
      </c>
      <c r="J21" s="103"/>
      <c r="K21" s="103"/>
      <c r="L21" s="103"/>
      <c r="M21" s="103"/>
      <c r="N21" s="103"/>
      <c r="O21" s="103"/>
      <c r="P21" s="103"/>
      <c r="Q21" s="103"/>
      <c r="R21" s="103"/>
    </row>
    <row r="22" spans="1:18" ht="24.95" customHeight="1" x14ac:dyDescent="0.15">
      <c r="A22" s="103"/>
      <c r="B22" s="157"/>
      <c r="C22" s="145" t="s">
        <v>105</v>
      </c>
      <c r="D22" s="288">
        <f>IF(医療・支援・介護!N52="該当しません","該当しません",IF(医療・支援・介護!N52=0,0,ROUNDDOWN(F15*Q8/100,-2)+E15*Q9*0.8))</f>
        <v>0</v>
      </c>
      <c r="E22" s="288"/>
      <c r="F22" s="102" t="s">
        <v>95</v>
      </c>
      <c r="G22" s="289">
        <f>IF(D22="該当しません","該当しません",ROUNDDOWN(D22/12,0))</f>
        <v>0</v>
      </c>
      <c r="H22" s="290"/>
      <c r="I22" s="158" t="s">
        <v>4</v>
      </c>
      <c r="J22" s="103"/>
      <c r="K22" s="103"/>
      <c r="L22" s="103"/>
      <c r="M22" s="103"/>
      <c r="N22" s="103"/>
      <c r="O22" s="103"/>
      <c r="P22" s="103"/>
      <c r="Q22" s="103"/>
      <c r="R22" s="103"/>
    </row>
    <row r="23" spans="1:18" ht="24.95" customHeight="1" x14ac:dyDescent="0.15">
      <c r="A23" s="103"/>
      <c r="B23" s="159"/>
      <c r="C23" s="160"/>
      <c r="D23" s="160"/>
      <c r="E23" s="160"/>
      <c r="F23" s="160"/>
      <c r="G23" s="160"/>
      <c r="H23" s="160"/>
      <c r="I23" s="161"/>
      <c r="J23" s="103"/>
      <c r="K23" s="103"/>
      <c r="L23" s="103"/>
      <c r="M23" s="103"/>
      <c r="N23" s="103"/>
      <c r="O23" s="103"/>
      <c r="P23" s="103"/>
      <c r="Q23" s="103"/>
      <c r="R23" s="103"/>
    </row>
  </sheetData>
  <sheetProtection algorithmName="SHA-512" hashValue="Pah6O9kfQS52hICpLsuVb/uOYyiP1PwEYh4xOCsbT3X8Wp4OgK5qcyU0fBuR1ixUS6uMjITSmpnfWAvkN9OXMw==" saltValue="38wus51LLZPqga71VE7TEA==" spinCount="100000" sheet="1" objects="1" scenarios="1"/>
  <mergeCells count="21">
    <mergeCell ref="B18:I18"/>
    <mergeCell ref="D20:E20"/>
    <mergeCell ref="D21:E21"/>
    <mergeCell ref="D22:E22"/>
    <mergeCell ref="G20:H20"/>
    <mergeCell ref="G21:H21"/>
    <mergeCell ref="G22:H22"/>
    <mergeCell ref="L10:N10"/>
    <mergeCell ref="N11:N12"/>
    <mergeCell ref="L11:M12"/>
    <mergeCell ref="L15:M15"/>
    <mergeCell ref="C6:F6"/>
    <mergeCell ref="H6:J6"/>
    <mergeCell ref="I7:J7"/>
    <mergeCell ref="N2:P2"/>
    <mergeCell ref="B3:R3"/>
    <mergeCell ref="B4:R4"/>
    <mergeCell ref="P6:Q6"/>
    <mergeCell ref="C7:C8"/>
    <mergeCell ref="H7:H8"/>
    <mergeCell ref="D7:F7"/>
  </mergeCells>
  <phoneticPr fontId="1"/>
  <dataValidations count="1">
    <dataValidation type="list" allowBlank="1" showInputMessage="1" showErrorMessage="1" sqref="D9:D14" xr:uid="{874B8C91-B6B2-475B-AB06-07E361C58B5D}">
      <formula1>"18歳以上,18歳未満,加入しない"</formula1>
    </dataValidation>
  </dataValidations>
  <pageMargins left="0.7" right="0.7" top="0.75" bottom="0.75" header="0.3" footer="0.3"/>
  <pageSetup paperSize="9" scale="56"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6D899-FE83-4C05-9B1A-582752F5F343}">
  <sheetPr codeName="Sheet3">
    <tabColor rgb="FFFF99FF"/>
  </sheetPr>
  <dimension ref="A1:R19"/>
  <sheetViews>
    <sheetView view="pageBreakPreview" zoomScale="75" zoomScaleNormal="100" zoomScaleSheetLayoutView="75" workbookViewId="0"/>
  </sheetViews>
  <sheetFormatPr defaultColWidth="10.125" defaultRowHeight="24.95" customHeight="1" x14ac:dyDescent="0.15"/>
  <cols>
    <col min="1" max="2" width="3.25" customWidth="1"/>
    <col min="4" max="4" width="10.125" customWidth="1"/>
    <col min="5" max="5" width="6.625" customWidth="1"/>
    <col min="18" max="18" width="3.25" customWidth="1"/>
  </cols>
  <sheetData>
    <row r="1" spans="1:18" ht="24.95" customHeight="1" x14ac:dyDescent="0.15">
      <c r="A1" s="103"/>
      <c r="B1" s="103"/>
      <c r="C1" s="103"/>
      <c r="D1" s="103"/>
      <c r="E1" s="103"/>
      <c r="F1" s="103"/>
      <c r="G1" s="103"/>
      <c r="H1" s="103"/>
      <c r="I1" s="103"/>
      <c r="J1" s="103"/>
      <c r="K1" s="103"/>
      <c r="L1" s="103"/>
      <c r="M1" s="103"/>
      <c r="N1" s="103"/>
      <c r="O1" s="103"/>
      <c r="P1" s="103"/>
      <c r="Q1" s="103"/>
      <c r="R1" s="103"/>
    </row>
    <row r="2" spans="1:18" ht="24.95" customHeight="1" x14ac:dyDescent="0.15">
      <c r="A2" s="103"/>
      <c r="B2" s="103"/>
      <c r="C2" s="103"/>
      <c r="D2" s="103"/>
      <c r="E2" s="103"/>
      <c r="F2" s="103"/>
      <c r="G2" s="103"/>
      <c r="H2" s="103"/>
      <c r="I2" s="103"/>
      <c r="J2" s="103"/>
      <c r="K2" s="103"/>
      <c r="L2" s="103"/>
      <c r="M2" s="103"/>
      <c r="N2" s="270">
        <f ca="1">TODAY()</f>
        <v>46092</v>
      </c>
      <c r="O2" s="270"/>
      <c r="P2" s="270"/>
      <c r="Q2" s="140" t="s">
        <v>56</v>
      </c>
      <c r="R2" s="103"/>
    </row>
    <row r="3" spans="1:18" ht="24.95" customHeight="1" x14ac:dyDescent="0.15">
      <c r="A3" s="103"/>
      <c r="B3" s="271" t="s">
        <v>108</v>
      </c>
      <c r="C3" s="271"/>
      <c r="D3" s="271"/>
      <c r="E3" s="271"/>
      <c r="F3" s="271"/>
      <c r="G3" s="271"/>
      <c r="H3" s="271"/>
      <c r="I3" s="271"/>
      <c r="J3" s="271"/>
      <c r="K3" s="271"/>
      <c r="L3" s="271"/>
      <c r="M3" s="271"/>
      <c r="N3" s="271"/>
      <c r="O3" s="271"/>
      <c r="P3" s="271"/>
      <c r="Q3" s="271"/>
      <c r="R3" s="271"/>
    </row>
    <row r="4" spans="1:18" ht="24.95" customHeight="1" x14ac:dyDescent="0.15">
      <c r="A4" s="103"/>
      <c r="B4" s="271" t="s">
        <v>31</v>
      </c>
      <c r="C4" s="271"/>
      <c r="D4" s="271"/>
      <c r="E4" s="271"/>
      <c r="F4" s="271"/>
      <c r="G4" s="271"/>
      <c r="H4" s="271"/>
      <c r="I4" s="271"/>
      <c r="J4" s="271"/>
      <c r="K4" s="271"/>
      <c r="L4" s="271"/>
      <c r="M4" s="271"/>
      <c r="N4" s="271"/>
      <c r="O4" s="271"/>
      <c r="P4" s="271"/>
      <c r="Q4" s="271"/>
      <c r="R4" s="271"/>
    </row>
    <row r="5" spans="1:18" ht="24.95" customHeight="1" x14ac:dyDescent="0.15">
      <c r="A5" s="103"/>
      <c r="B5" s="117"/>
      <c r="C5" s="117"/>
      <c r="D5" s="117"/>
      <c r="E5" s="117"/>
      <c r="F5" s="117"/>
      <c r="G5" s="117"/>
      <c r="H5" s="117"/>
      <c r="I5" s="117"/>
      <c r="J5" s="117"/>
      <c r="K5" s="117"/>
      <c r="L5" s="117"/>
      <c r="M5" s="117"/>
      <c r="N5" s="117"/>
      <c r="O5" s="117"/>
      <c r="P5" s="117"/>
      <c r="Q5" s="117"/>
      <c r="R5" s="117"/>
    </row>
    <row r="6" spans="1:18" ht="24.95" customHeight="1" x14ac:dyDescent="0.15">
      <c r="A6" s="103"/>
      <c r="B6" s="117"/>
      <c r="C6" s="117"/>
      <c r="D6" s="103"/>
      <c r="E6" s="103"/>
      <c r="F6" s="103"/>
      <c r="G6" s="103"/>
      <c r="H6" s="103"/>
      <c r="I6" s="103"/>
      <c r="J6" s="103"/>
      <c r="K6" s="103"/>
      <c r="L6" s="117"/>
      <c r="M6" s="291" t="s">
        <v>85</v>
      </c>
      <c r="N6" s="291"/>
      <c r="O6" s="291"/>
      <c r="P6" s="291"/>
      <c r="Q6" s="291"/>
      <c r="R6" s="117"/>
    </row>
    <row r="7" spans="1:18" ht="24.95" customHeight="1" thickBot="1" x14ac:dyDescent="0.2">
      <c r="A7" s="103"/>
      <c r="B7" s="117"/>
      <c r="C7" s="190" t="s">
        <v>94</v>
      </c>
      <c r="D7" s="190"/>
      <c r="E7" s="190"/>
      <c r="F7" s="190"/>
      <c r="G7" s="103"/>
      <c r="H7" s="175" t="s">
        <v>0</v>
      </c>
      <c r="I7" s="175"/>
      <c r="J7" s="175"/>
      <c r="K7" s="175"/>
      <c r="L7" s="117"/>
      <c r="M7" s="128" t="s">
        <v>29</v>
      </c>
      <c r="N7" s="128" t="s">
        <v>23</v>
      </c>
      <c r="O7" s="128" t="s">
        <v>24</v>
      </c>
      <c r="P7" s="128" t="s">
        <v>10</v>
      </c>
      <c r="Q7" s="128" t="s">
        <v>86</v>
      </c>
      <c r="R7" s="117"/>
    </row>
    <row r="8" spans="1:18" ht="24.95" customHeight="1" x14ac:dyDescent="0.15">
      <c r="A8" s="103"/>
      <c r="B8" s="117"/>
      <c r="C8" s="181">
        <f>医療・支援・介護!N37+子ども・子育て!L11</f>
        <v>0</v>
      </c>
      <c r="D8" s="182"/>
      <c r="E8" s="183"/>
      <c r="F8" s="188" t="s">
        <v>22</v>
      </c>
      <c r="G8" s="103"/>
      <c r="H8" s="170">
        <f>ROUNDDOWN(C8/12,0)</f>
        <v>0</v>
      </c>
      <c r="I8" s="171"/>
      <c r="J8" s="172"/>
      <c r="K8" s="137" t="s">
        <v>4</v>
      </c>
      <c r="L8" s="117"/>
      <c r="M8" s="128" t="s">
        <v>27</v>
      </c>
      <c r="N8" s="120">
        <v>7.8</v>
      </c>
      <c r="O8" s="120">
        <v>2.9</v>
      </c>
      <c r="P8" s="120">
        <v>2.5</v>
      </c>
      <c r="Q8" s="120">
        <v>0.3</v>
      </c>
      <c r="R8" s="117"/>
    </row>
    <row r="9" spans="1:18" ht="24.95" customHeight="1" thickBot="1" x14ac:dyDescent="0.2">
      <c r="A9" s="103"/>
      <c r="B9" s="117"/>
      <c r="C9" s="184"/>
      <c r="D9" s="185"/>
      <c r="E9" s="186"/>
      <c r="F9" s="189"/>
      <c r="G9" s="103"/>
      <c r="H9" s="209" t="s">
        <v>9</v>
      </c>
      <c r="I9" s="209"/>
      <c r="J9" s="209"/>
      <c r="K9" s="209"/>
      <c r="L9" s="117"/>
      <c r="M9" s="128" t="s">
        <v>26</v>
      </c>
      <c r="N9" s="121">
        <v>42000</v>
      </c>
      <c r="O9" s="121">
        <v>15000</v>
      </c>
      <c r="P9" s="121">
        <v>15000</v>
      </c>
      <c r="Q9" s="121">
        <v>1700</v>
      </c>
      <c r="R9" s="117"/>
    </row>
    <row r="10" spans="1:18" ht="24.95" customHeight="1" x14ac:dyDescent="0.15">
      <c r="A10" s="103"/>
      <c r="B10" s="117"/>
      <c r="C10" s="132" t="s">
        <v>58</v>
      </c>
      <c r="D10" s="134">
        <f>SUM(N10:Q10)</f>
        <v>1120000</v>
      </c>
      <c r="E10" s="132" t="s">
        <v>59</v>
      </c>
      <c r="F10" s="132"/>
      <c r="G10" s="103"/>
      <c r="H10" s="117"/>
      <c r="I10" s="117"/>
      <c r="J10" s="117"/>
      <c r="K10" s="117"/>
      <c r="L10" s="117"/>
      <c r="M10" s="128" t="s">
        <v>28</v>
      </c>
      <c r="N10" s="121">
        <v>660000</v>
      </c>
      <c r="O10" s="121">
        <v>260000</v>
      </c>
      <c r="P10" s="121">
        <v>170000</v>
      </c>
      <c r="Q10" s="121">
        <v>30000</v>
      </c>
      <c r="R10" s="117"/>
    </row>
    <row r="11" spans="1:18" ht="24.95" customHeight="1" x14ac:dyDescent="0.15">
      <c r="A11" s="103"/>
      <c r="B11" s="117"/>
      <c r="C11" s="117"/>
      <c r="D11" s="162"/>
      <c r="E11" s="162"/>
      <c r="F11" s="162"/>
      <c r="G11" s="162"/>
      <c r="H11" s="103"/>
      <c r="I11" s="103"/>
      <c r="J11" s="103"/>
      <c r="K11" s="103"/>
      <c r="L11" s="117"/>
      <c r="M11" s="117"/>
      <c r="N11" s="117"/>
      <c r="O11" s="117"/>
      <c r="P11" s="117"/>
      <c r="Q11" s="117"/>
      <c r="R11" s="117"/>
    </row>
    <row r="12" spans="1:18" ht="24.95" customHeight="1" x14ac:dyDescent="0.15">
      <c r="A12" s="103"/>
      <c r="B12" s="117"/>
      <c r="C12" s="117"/>
      <c r="D12" s="162"/>
      <c r="E12" s="162"/>
      <c r="F12" s="162"/>
      <c r="G12" s="162"/>
      <c r="H12" s="103"/>
      <c r="I12" s="103"/>
      <c r="J12" s="103"/>
      <c r="K12" s="103"/>
      <c r="L12" s="117"/>
      <c r="M12" s="117"/>
      <c r="N12" s="117"/>
      <c r="O12" s="117"/>
      <c r="P12" s="117"/>
      <c r="Q12" s="117"/>
      <c r="R12" s="117"/>
    </row>
    <row r="13" spans="1:18" ht="24.95" customHeight="1" x14ac:dyDescent="0.15">
      <c r="A13" s="103"/>
      <c r="B13" s="287" t="s">
        <v>106</v>
      </c>
      <c r="C13" s="285"/>
      <c r="D13" s="285"/>
      <c r="E13" s="285"/>
      <c r="F13" s="285"/>
      <c r="G13" s="285"/>
      <c r="H13" s="285"/>
      <c r="I13" s="286"/>
      <c r="J13" s="103"/>
      <c r="K13" s="103"/>
      <c r="L13" s="117"/>
      <c r="M13" s="117"/>
      <c r="N13" s="117"/>
      <c r="O13" s="117"/>
      <c r="P13" s="117"/>
      <c r="Q13" s="117"/>
      <c r="R13" s="117"/>
    </row>
    <row r="14" spans="1:18" ht="24.95" customHeight="1" x14ac:dyDescent="0.15">
      <c r="A14" s="103"/>
      <c r="B14" s="155"/>
      <c r="C14" s="151"/>
      <c r="D14" s="151"/>
      <c r="E14" s="151"/>
      <c r="F14" s="151"/>
      <c r="G14" s="151"/>
      <c r="H14" s="151"/>
      <c r="I14" s="156"/>
      <c r="J14" s="103"/>
      <c r="K14" s="103"/>
      <c r="L14" s="117"/>
      <c r="M14" s="117"/>
      <c r="N14" s="117"/>
      <c r="O14" s="117"/>
      <c r="P14" s="117"/>
      <c r="Q14" s="117"/>
      <c r="R14" s="117"/>
    </row>
    <row r="15" spans="1:18" ht="24.95" customHeight="1" x14ac:dyDescent="0.15">
      <c r="A15" s="103"/>
      <c r="B15" s="157"/>
      <c r="C15" s="145" t="s">
        <v>67</v>
      </c>
      <c r="D15" s="288">
        <f>IF(医療・支援・介護!N50="該当しません","該当しません",IF(医療・支援・介護!N50=0,0,医療・支援・介護!N50+子ども・子育て!D20))</f>
        <v>0</v>
      </c>
      <c r="E15" s="288"/>
      <c r="F15" s="102" t="s">
        <v>13</v>
      </c>
      <c r="G15" s="289">
        <f>IF(D15="該当しません","該当しません",ROUNDDOWN(D15/12,0))</f>
        <v>0</v>
      </c>
      <c r="H15" s="290"/>
      <c r="I15" s="158" t="s">
        <v>4</v>
      </c>
      <c r="J15" s="103"/>
      <c r="K15" s="103"/>
      <c r="L15" s="117"/>
      <c r="M15" s="117"/>
      <c r="N15" s="117"/>
      <c r="O15" s="117"/>
      <c r="P15" s="117"/>
      <c r="Q15" s="117"/>
      <c r="R15" s="117"/>
    </row>
    <row r="16" spans="1:18" ht="24.95" customHeight="1" x14ac:dyDescent="0.15">
      <c r="A16" s="103"/>
      <c r="B16" s="157"/>
      <c r="C16" s="145" t="s">
        <v>68</v>
      </c>
      <c r="D16" s="288">
        <f>IF(医療・支援・介護!N51="該当しません","該当しません",IF(医療・支援・介護!N51=0,0,医療・支援・介護!N51+子ども・子育て!D21))</f>
        <v>0</v>
      </c>
      <c r="E16" s="288"/>
      <c r="F16" s="102" t="s">
        <v>13</v>
      </c>
      <c r="G16" s="289">
        <f>IF(D16="該当しません","該当しません",ROUNDDOWN(D16/12,0))</f>
        <v>0</v>
      </c>
      <c r="H16" s="290"/>
      <c r="I16" s="158" t="s">
        <v>4</v>
      </c>
      <c r="J16" s="103"/>
      <c r="K16" s="103"/>
      <c r="L16" s="117"/>
      <c r="M16" s="117"/>
      <c r="N16" s="117"/>
      <c r="O16" s="117"/>
      <c r="P16" s="117"/>
      <c r="Q16" s="117"/>
      <c r="R16" s="117"/>
    </row>
    <row r="17" spans="1:18" ht="24.95" customHeight="1" x14ac:dyDescent="0.15">
      <c r="A17" s="103"/>
      <c r="B17" s="157"/>
      <c r="C17" s="145" t="s">
        <v>69</v>
      </c>
      <c r="D17" s="288">
        <f>IF(医療・支援・介護!N52="該当しません","該当しません",IF(医療・支援・介護!N52=0,0,医療・支援・介護!N52+子ども・子育て!D22))</f>
        <v>0</v>
      </c>
      <c r="E17" s="288"/>
      <c r="F17" s="102" t="s">
        <v>13</v>
      </c>
      <c r="G17" s="289">
        <f>IF(D17="該当しません","該当しません",ROUNDDOWN(D17/12,0))</f>
        <v>0</v>
      </c>
      <c r="H17" s="290"/>
      <c r="I17" s="158" t="s">
        <v>4</v>
      </c>
      <c r="J17" s="103"/>
      <c r="K17" s="103"/>
      <c r="L17" s="117"/>
      <c r="M17" s="117"/>
      <c r="N17" s="117"/>
      <c r="O17" s="117"/>
      <c r="P17" s="117"/>
      <c r="Q17" s="117"/>
      <c r="R17" s="117"/>
    </row>
    <row r="18" spans="1:18" ht="24.95" customHeight="1" x14ac:dyDescent="0.15">
      <c r="A18" s="103"/>
      <c r="B18" s="159"/>
      <c r="C18" s="160"/>
      <c r="D18" s="160"/>
      <c r="E18" s="160"/>
      <c r="F18" s="160"/>
      <c r="G18" s="160"/>
      <c r="H18" s="160"/>
      <c r="I18" s="161"/>
      <c r="J18" s="103"/>
      <c r="K18" s="103"/>
      <c r="L18" s="117"/>
      <c r="M18" s="117"/>
      <c r="N18" s="117"/>
      <c r="O18" s="117"/>
      <c r="P18" s="117"/>
      <c r="Q18" s="117"/>
      <c r="R18" s="117"/>
    </row>
    <row r="19" spans="1:18" ht="24.95" customHeight="1" x14ac:dyDescent="0.15">
      <c r="B19" s="99"/>
      <c r="C19" s="99"/>
      <c r="D19" s="100"/>
      <c r="E19" s="100"/>
      <c r="F19" s="100"/>
      <c r="G19" s="101"/>
      <c r="L19" s="99"/>
      <c r="M19" s="99"/>
      <c r="N19" s="99"/>
      <c r="O19" s="99"/>
      <c r="P19" s="99"/>
      <c r="Q19" s="99"/>
      <c r="R19" s="99"/>
    </row>
  </sheetData>
  <sheetProtection algorithmName="SHA-512" hashValue="7s/a/7TaP8pqTxEK9SDZ3A13Z4jA6X2AjRA/dg3Ub9YoV5q5gqrFNf4KhEaqd1z7+1oZ1mmCf1myeIfJPo4tjw==" saltValue="OEmTtwPdLG7s96uS8GwV0Q==" spinCount="100000" sheet="1" objects="1" scenarios="1"/>
  <mergeCells count="17">
    <mergeCell ref="M6:Q6"/>
    <mergeCell ref="H7:K7"/>
    <mergeCell ref="N2:P2"/>
    <mergeCell ref="B3:R3"/>
    <mergeCell ref="B4:R4"/>
    <mergeCell ref="C7:F7"/>
    <mergeCell ref="D17:E17"/>
    <mergeCell ref="G17:H17"/>
    <mergeCell ref="F8:F9"/>
    <mergeCell ref="B13:I13"/>
    <mergeCell ref="D15:E15"/>
    <mergeCell ref="G15:H15"/>
    <mergeCell ref="D16:E16"/>
    <mergeCell ref="G16:H16"/>
    <mergeCell ref="H8:J8"/>
    <mergeCell ref="H9:K9"/>
    <mergeCell ref="C8:E9"/>
  </mergeCells>
  <phoneticPr fontId="1"/>
  <pageMargins left="0.7" right="0.7" top="0.75" bottom="0.75" header="0.3" footer="0.3"/>
  <pageSetup paperSize="9" scale="56"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C4BBF-ABFB-4642-8C45-676E376721C1}">
  <sheetPr codeName="Sheet4">
    <tabColor rgb="FFFFFF00"/>
  </sheetPr>
  <dimension ref="A2:L15"/>
  <sheetViews>
    <sheetView tabSelected="1" zoomScaleNormal="100" workbookViewId="0"/>
  </sheetViews>
  <sheetFormatPr defaultRowHeight="24.95" customHeight="1" x14ac:dyDescent="0.15"/>
  <cols>
    <col min="1" max="2" width="3.625" customWidth="1"/>
  </cols>
  <sheetData>
    <row r="2" spans="1:12" ht="24.95" customHeight="1" x14ac:dyDescent="0.15">
      <c r="A2" s="292" t="s">
        <v>117</v>
      </c>
      <c r="B2" s="293"/>
      <c r="C2" s="294"/>
    </row>
    <row r="3" spans="1:12" ht="15" customHeight="1" x14ac:dyDescent="0.15"/>
    <row r="4" spans="1:12" ht="24.95" customHeight="1" x14ac:dyDescent="0.15">
      <c r="A4" s="105" t="s">
        <v>115</v>
      </c>
      <c r="B4" s="105"/>
      <c r="C4" s="105"/>
      <c r="D4" s="105"/>
      <c r="E4" s="105"/>
      <c r="F4" s="105"/>
      <c r="G4" s="105"/>
      <c r="H4" s="105"/>
      <c r="I4" s="105"/>
      <c r="J4" s="105"/>
      <c r="K4" s="105"/>
      <c r="L4" s="105"/>
    </row>
    <row r="5" spans="1:12" ht="24.95" customHeight="1" x14ac:dyDescent="0.15">
      <c r="A5" s="105"/>
      <c r="B5" s="106" t="s">
        <v>116</v>
      </c>
      <c r="C5" s="105" t="s">
        <v>121</v>
      </c>
      <c r="D5" s="105"/>
      <c r="E5" s="105"/>
      <c r="F5" s="105"/>
      <c r="G5" s="105"/>
      <c r="H5" s="105"/>
      <c r="I5" s="105"/>
      <c r="J5" s="105"/>
      <c r="K5" s="105"/>
      <c r="L5" s="105"/>
    </row>
    <row r="7" spans="1:12" ht="24.95" customHeight="1" x14ac:dyDescent="0.15">
      <c r="A7" s="104">
        <v>1</v>
      </c>
      <c r="B7" s="104" t="s">
        <v>118</v>
      </c>
      <c r="C7" t="s">
        <v>119</v>
      </c>
    </row>
    <row r="8" spans="1:12" ht="24.95" customHeight="1" x14ac:dyDescent="0.15">
      <c r="A8" s="104">
        <v>2</v>
      </c>
      <c r="B8" s="104" t="s">
        <v>118</v>
      </c>
      <c r="C8" t="s">
        <v>120</v>
      </c>
    </row>
    <row r="9" spans="1:12" ht="24.95" customHeight="1" x14ac:dyDescent="0.15">
      <c r="A9" s="104"/>
      <c r="B9" s="104"/>
      <c r="C9" s="104" t="s">
        <v>128</v>
      </c>
      <c r="H9" s="104"/>
    </row>
    <row r="10" spans="1:12" ht="24.95" customHeight="1" x14ac:dyDescent="0.15">
      <c r="A10" s="104">
        <v>3</v>
      </c>
      <c r="B10" s="104" t="s">
        <v>118</v>
      </c>
      <c r="C10" s="103" t="s">
        <v>122</v>
      </c>
    </row>
    <row r="12" spans="1:12" ht="24.95" customHeight="1" x14ac:dyDescent="0.15">
      <c r="B12" s="107" t="s">
        <v>123</v>
      </c>
      <c r="C12" s="108" t="s">
        <v>126</v>
      </c>
    </row>
    <row r="13" spans="1:12" ht="24.95" customHeight="1" x14ac:dyDescent="0.15">
      <c r="B13" s="107" t="s">
        <v>124</v>
      </c>
      <c r="C13" t="s">
        <v>140</v>
      </c>
    </row>
    <row r="14" spans="1:12" ht="24.95" customHeight="1" x14ac:dyDescent="0.15">
      <c r="B14" s="107" t="s">
        <v>125</v>
      </c>
      <c r="C14" t="s">
        <v>141</v>
      </c>
    </row>
    <row r="15" spans="1:12" ht="24.95" customHeight="1" x14ac:dyDescent="0.15">
      <c r="B15" s="107" t="s">
        <v>142</v>
      </c>
      <c r="C15" s="103" t="s">
        <v>127</v>
      </c>
    </row>
  </sheetData>
  <sheetProtection algorithmName="SHA-512" hashValue="9Zot3h0tHyNqdteYjRzoRBd5R44noP3cHCixfbrp1k5xZYYmdgiaqqI+/JBdUuUVxV84eqJ4bURWvge7bN9Zag==" saltValue="WhysLAxmeg8RN7UAunb31w==" spinCount="100000" sheet="1" objects="1" scenarios="1"/>
  <mergeCells count="1">
    <mergeCell ref="A2:C2"/>
  </mergeCells>
  <phoneticPr fontId="1"/>
  <pageMargins left="0.7" right="0.7" top="0.75" bottom="0.75" header="0.3" footer="0.3"/>
  <pageSetup paperSize="9" scale="84"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医療・支援・介護</vt:lpstr>
      <vt:lpstr>子ども・子育て</vt:lpstr>
      <vt:lpstr>試算結果（合計）</vt:lpstr>
      <vt:lpstr>入力の仕方</vt:lpstr>
      <vt:lpstr>医療・支援・介護!Print_Area</vt:lpstr>
    </vt:vector>
  </TitlesOfParts>
  <Company>行田市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行田市</dc:creator>
  <cp:lastModifiedBy>角田　佳美</cp:lastModifiedBy>
  <cp:lastPrinted>2026-02-18T09:14:45Z</cp:lastPrinted>
  <dcterms:created xsi:type="dcterms:W3CDTF">2018-02-19T05:03:28Z</dcterms:created>
  <dcterms:modified xsi:type="dcterms:W3CDTF">2026-03-11T08:24:48Z</dcterms:modified>
</cp:coreProperties>
</file>